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480" windowHeight="9450" activeTab="0"/>
  </bookViews>
  <sheets>
    <sheet name="目次" sheetId="1" r:id="rId1"/>
    <sheet name="解説" sheetId="2" r:id="rId2"/>
    <sheet name="5-1" sheetId="3" r:id="rId3"/>
    <sheet name="5-2" sheetId="4" r:id="rId4"/>
    <sheet name="5-3" sheetId="5" r:id="rId5"/>
    <sheet name="5-4" sheetId="6" r:id="rId6"/>
    <sheet name="5-5(1)" sheetId="7" r:id="rId7"/>
    <sheet name="5-5(2)" sheetId="8" r:id="rId8"/>
    <sheet name="5-6(1)" sheetId="9" r:id="rId9"/>
    <sheet name="5-6(2)" sheetId="10" r:id="rId10"/>
    <sheet name="5-6(3)" sheetId="11" r:id="rId11"/>
    <sheet name="5-6(4)" sheetId="12" r:id="rId12"/>
    <sheet name="5-7" sheetId="13" r:id="rId13"/>
    <sheet name="5-8" sheetId="14" r:id="rId14"/>
    <sheet name="5-9" sheetId="15" r:id="rId15"/>
    <sheet name="5-10" sheetId="16" r:id="rId16"/>
    <sheet name="5-11" sheetId="17" r:id="rId17"/>
    <sheet name="5-12" sheetId="18" r:id="rId18"/>
  </sheets>
  <definedNames/>
  <calcPr fullCalcOnLoad="1"/>
</workbook>
</file>

<file path=xl/sharedStrings.xml><?xml version="1.0" encoding="utf-8"?>
<sst xmlns="http://schemas.openxmlformats.org/spreadsheetml/2006/main" count="851" uniqueCount="382">
  <si>
    <t>村山地域</t>
  </si>
  <si>
    <t>最上地域</t>
  </si>
  <si>
    <t>置賜地域</t>
  </si>
  <si>
    <t>庄内地域</t>
  </si>
  <si>
    <t>-</t>
  </si>
  <si>
    <t>５－１．保有山林面積規模別林業経営体数(平成17年）</t>
  </si>
  <si>
    <t>市町村別</t>
  </si>
  <si>
    <t>面　　積</t>
  </si>
  <si>
    <t>経営体計</t>
  </si>
  <si>
    <t>保有山林
な　　し</t>
  </si>
  <si>
    <t>３ha未満</t>
  </si>
  <si>
    <t>1,000ha以上</t>
  </si>
  <si>
    <t>県計</t>
  </si>
  <si>
    <t>資料：農林水産省「2005年農林業センサス農林業経営体調査結果」</t>
  </si>
  <si>
    <t>５－２．保有山林の人工林率別林業経営体数（平成17年）</t>
  </si>
  <si>
    <t>２月１日現在　単位：経営体</t>
  </si>
  <si>
    <t>計</t>
  </si>
  <si>
    <t>人 工 林
な　　し</t>
  </si>
  <si>
    <t>10％未満</t>
  </si>
  <si>
    <t>80％以上</t>
  </si>
  <si>
    <t>資料：農林水産省「2005年農林業センサス農林業経営体調査結果」</t>
  </si>
  <si>
    <t>１０年生以下</t>
  </si>
  <si>
    <t>１１ ～ ３０年生</t>
  </si>
  <si>
    <t>３１ ～ ４０年生</t>
  </si>
  <si>
    <t>４１年生以上</t>
  </si>
  <si>
    <t>実経営体数</t>
  </si>
  <si>
    <t>経営体数</t>
  </si>
  <si>
    <t>林  野  面  積</t>
  </si>
  <si>
    <t>森  林  面  積</t>
  </si>
  <si>
    <t>森林以外の　　　　草生地</t>
  </si>
  <si>
    <t>林野率</t>
  </si>
  <si>
    <t>国有</t>
  </si>
  <si>
    <t>民有</t>
  </si>
  <si>
    <t>山 形 市</t>
  </si>
  <si>
    <t>米 沢 市</t>
  </si>
  <si>
    <t>鶴 岡 市</t>
  </si>
  <si>
    <t>酒 田 市</t>
  </si>
  <si>
    <t xml:space="preserve">新 庄 市 </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</si>
  <si>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</si>
  <si>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</si>
  <si>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</si>
  <si>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</si>
  <si>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</si>
  <si>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</si>
  <si>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</si>
  <si>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</si>
  <si>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</si>
  <si>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</si>
  <si>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</si>
  <si>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</si>
  <si>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</si>
  <si>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</si>
  <si>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</si>
  <si>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</si>
  <si>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</si>
  <si>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</si>
  <si>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</si>
  <si>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</si>
  <si>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</si>
  <si>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</si>
  <si>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</si>
  <si>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</si>
  <si>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</si>
  <si>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</si>
  <si>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</si>
  <si>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</si>
  <si>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</si>
  <si>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総数</t>
  </si>
  <si>
    <t>庄内町</t>
  </si>
  <si>
    <t>資料：農林水産省「2005年農林業センサス農山村地域調査」</t>
  </si>
  <si>
    <t>計</t>
  </si>
  <si>
    <t>小　　計</t>
  </si>
  <si>
    <t>す　　ぎ</t>
  </si>
  <si>
    <t>ひのき</t>
  </si>
  <si>
    <t xml:space="preserve">- </t>
  </si>
  <si>
    <t>（１）素材生産量</t>
  </si>
  <si>
    <t>イ、樹種別生産量</t>
  </si>
  <si>
    <t>単位：千㎥</t>
  </si>
  <si>
    <t>年別</t>
  </si>
  <si>
    <t>平成13年</t>
  </si>
  <si>
    <t>平成14年</t>
  </si>
  <si>
    <t>平成15年</t>
  </si>
  <si>
    <t>平成16年</t>
  </si>
  <si>
    <t>平成17年</t>
  </si>
  <si>
    <t>平成18年</t>
  </si>
  <si>
    <t>ロ、用途別生産量</t>
  </si>
  <si>
    <t>資料：東北農政局山形農政事務所「山形農林水産統計年報 (平成18～19年）」</t>
  </si>
  <si>
    <t xml:space="preserve">  </t>
  </si>
  <si>
    <t>（２）林野副産物生産量</t>
  </si>
  <si>
    <t>単位：ｔ</t>
  </si>
  <si>
    <t>年別</t>
  </si>
  <si>
    <t>山菜</t>
  </si>
  <si>
    <t>木炭</t>
  </si>
  <si>
    <t>生しいたけ</t>
  </si>
  <si>
    <t>ぜんまい
（乾）</t>
  </si>
  <si>
    <t>平成13年</t>
  </si>
  <si>
    <t>平成14年</t>
  </si>
  <si>
    <t>平成15年</t>
  </si>
  <si>
    <t>平成16年</t>
  </si>
  <si>
    <t>平成17年</t>
  </si>
  <si>
    <t>平成18年</t>
  </si>
  <si>
    <t>資料：県森林課「山形県林業統計」</t>
  </si>
  <si>
    <t>（１）製材工場数</t>
  </si>
  <si>
    <t>１２月３１日現在 単位：工場</t>
  </si>
  <si>
    <t>製材用動力の出力階層別</t>
  </si>
  <si>
    <t>総数</t>
  </si>
  <si>
    <t>150.0ｋＷ以上</t>
  </si>
  <si>
    <t>平成13 年</t>
  </si>
  <si>
    <t>平成14 年</t>
  </si>
  <si>
    <t>平成15 年</t>
  </si>
  <si>
    <t>平成16 年</t>
  </si>
  <si>
    <t>平成17 年</t>
  </si>
  <si>
    <t>平成18 年</t>
  </si>
  <si>
    <t>資料 ： 東北農政局山形農政事務所「山形農林水産統計年報 (平成18年～19年）」（２）～（４）も同じ。</t>
  </si>
  <si>
    <t>（２）製材用素材の入荷量</t>
  </si>
  <si>
    <t>小計</t>
  </si>
  <si>
    <t>針葉樹</t>
  </si>
  <si>
    <t>広葉樹</t>
  </si>
  <si>
    <t>南洋材</t>
  </si>
  <si>
    <t>米材</t>
  </si>
  <si>
    <t>北洋材</t>
  </si>
  <si>
    <t>その他</t>
  </si>
  <si>
    <t xml:space="preserve">    -</t>
  </si>
  <si>
    <t>製材用素材消費量</t>
  </si>
  <si>
    <t>製材品出荷量</t>
  </si>
  <si>
    <t>（４）用途別製材品出荷量</t>
  </si>
  <si>
    <t>建築用材</t>
  </si>
  <si>
    <t>土木
建設用材</t>
  </si>
  <si>
    <t>木箱仕組板
こん包用材</t>
  </si>
  <si>
    <t>家具建具用材</t>
  </si>
  <si>
    <t>板類</t>
  </si>
  <si>
    <t>ひき角類</t>
  </si>
  <si>
    <t>国産材</t>
  </si>
  <si>
    <t>外材</t>
  </si>
  <si>
    <t>（３）製材量</t>
  </si>
  <si>
    <r>
      <t>単位：千ｍ</t>
    </r>
    <r>
      <rPr>
        <vertAlign val="superscript"/>
        <sz val="10"/>
        <rFont val="ＭＳ 明朝"/>
        <family val="1"/>
      </rPr>
      <t>３</t>
    </r>
  </si>
  <si>
    <t>製材用素材入荷量</t>
  </si>
  <si>
    <t>市町村別</t>
  </si>
  <si>
    <t>総   数</t>
  </si>
  <si>
    <t>平成17年度</t>
  </si>
  <si>
    <t>山形市</t>
  </si>
  <si>
    <t>米沢市</t>
  </si>
  <si>
    <t>酒田市</t>
  </si>
  <si>
    <t>新庄市</t>
  </si>
  <si>
    <t>上山市</t>
  </si>
  <si>
    <t>村山市</t>
  </si>
  <si>
    <t>長井市</t>
  </si>
  <si>
    <t>天童市</t>
  </si>
  <si>
    <t>東根市</t>
  </si>
  <si>
    <t>南陽市</t>
  </si>
  <si>
    <t>山辺町</t>
  </si>
  <si>
    <t>中山町</t>
  </si>
  <si>
    <t>河北町</t>
  </si>
  <si>
    <t>西川町</t>
  </si>
  <si>
    <t>朝日町</t>
  </si>
  <si>
    <t>大江町</t>
  </si>
  <si>
    <t>金山町</t>
  </si>
  <si>
    <t>最上町</t>
  </si>
  <si>
    <t>舟形町</t>
  </si>
  <si>
    <t>大蔵村</t>
  </si>
  <si>
    <t>鮭川村</t>
  </si>
  <si>
    <t>戸沢村</t>
  </si>
  <si>
    <t>高畠町</t>
  </si>
  <si>
    <t>川西町</t>
  </si>
  <si>
    <t>小国町</t>
  </si>
  <si>
    <t>白鷹町</t>
  </si>
  <si>
    <t>飯豊町</t>
  </si>
  <si>
    <t>三川町</t>
  </si>
  <si>
    <t>遊佐町</t>
  </si>
  <si>
    <t>水  源    かん養</t>
  </si>
  <si>
    <t>鶴岡市</t>
  </si>
  <si>
    <t>（旧鶴岡市）</t>
  </si>
  <si>
    <t>（旧藤島町）</t>
  </si>
  <si>
    <t>（旧羽黒町）</t>
  </si>
  <si>
    <t>（旧櫛引町）</t>
  </si>
  <si>
    <t>（旧朝日村）</t>
  </si>
  <si>
    <t>（旧温海町）</t>
  </si>
  <si>
    <t>（旧酒田市）</t>
  </si>
  <si>
    <t>（旧八幡町）</t>
  </si>
  <si>
    <t>（旧松山町）</t>
  </si>
  <si>
    <t>（旧平田町）</t>
  </si>
  <si>
    <t>庄内町</t>
  </si>
  <si>
    <t>（旧立川町）</t>
  </si>
  <si>
    <t>（旧余目町）</t>
  </si>
  <si>
    <t>注 ： 兼種保安林は、上位の保安林にその面積を計上している。</t>
  </si>
  <si>
    <t>年　　　度　　　別</t>
  </si>
  <si>
    <t>国      有      林</t>
  </si>
  <si>
    <t>民      有      林</t>
  </si>
  <si>
    <t>路線数</t>
  </si>
  <si>
    <t>延   長</t>
  </si>
  <si>
    <t>うち自動車道</t>
  </si>
  <si>
    <t>延長</t>
  </si>
  <si>
    <t>地       域      別</t>
  </si>
  <si>
    <t>村山地域</t>
  </si>
  <si>
    <t>最上地域</t>
  </si>
  <si>
    <t>置賜地域</t>
  </si>
  <si>
    <t>庄内地域</t>
  </si>
  <si>
    <t xml:space="preserve"> 資料：国有林＝東北森林管理局、民有林＝県森林課「山形県林業統計」</t>
  </si>
  <si>
    <t>総               数</t>
  </si>
  <si>
    <t>人        工        林</t>
  </si>
  <si>
    <t>天        然        林</t>
  </si>
  <si>
    <t>森林管理署別</t>
  </si>
  <si>
    <t>最上</t>
  </si>
  <si>
    <t>地域別</t>
  </si>
  <si>
    <t>村山</t>
  </si>
  <si>
    <t>山形森林管理署</t>
  </si>
  <si>
    <t>最上支署</t>
  </si>
  <si>
    <t>置賜</t>
  </si>
  <si>
    <t>置賜森林管理署</t>
  </si>
  <si>
    <t>庄内森林管理署</t>
  </si>
  <si>
    <t>資料：東北森林管理局</t>
  </si>
  <si>
    <t>総　　　　　　　数</t>
  </si>
  <si>
    <t>人　　　工　　　林</t>
  </si>
  <si>
    <t>天　　　然　　　林</t>
  </si>
  <si>
    <t>庄内</t>
  </si>
  <si>
    <t>資料：県森林課「山形県林業統計」</t>
  </si>
  <si>
    <t>総数</t>
  </si>
  <si>
    <t>人工林</t>
  </si>
  <si>
    <t>天然林</t>
  </si>
  <si>
    <t>森林管理署別</t>
  </si>
  <si>
    <t>人工林</t>
  </si>
  <si>
    <t>天然林</t>
  </si>
  <si>
    <t>地域別</t>
  </si>
  <si>
    <t>村山地域</t>
  </si>
  <si>
    <t>資料：県森林課「山形県林業統計」</t>
  </si>
  <si>
    <t>第５章　林業</t>
  </si>
  <si>
    <t>（３）製材量</t>
  </si>
  <si>
    <t>第５章についての解説</t>
  </si>
  <si>
    <t>１．2005年農林業センサスについて</t>
  </si>
  <si>
    <t>　　第5章の５－１～３は、2005年農林業センサスの調査結果をとりまとめたものですが、</t>
  </si>
  <si>
    <t>　2005年の調査では、農林業の生産・流通の多様化等に対応するため、調査対象の概念・</t>
  </si>
  <si>
    <t>　定義等について、抜本的な見直しが行われました。</t>
  </si>
  <si>
    <t>　　このため、本書では、2000年以前の調査結果との比較は行っていません。（農林業</t>
  </si>
  <si>
    <t>　センサスは、5年周期で実施されています。）</t>
  </si>
  <si>
    <t>　《2005年農林業センサスにおける主な変更点》</t>
  </si>
  <si>
    <t>　○従来の調査では、農家、林家という「世帯」を調査対象としていたが、経営活動に</t>
  </si>
  <si>
    <t>　　着目した「農林業経営体」という概念を新設し調査対象とすることにより、人・組織</t>
  </si>
  <si>
    <t>　　・法人等、農林業の多様な担い手を一元的に捉えることとした。</t>
  </si>
  <si>
    <t>　○同一世帯であっても、家族がそれぞれに農林業を経営している場合は、複数の経営体</t>
  </si>
  <si>
    <t>　　として捉えることとした。</t>
  </si>
  <si>
    <t>２．用語について</t>
  </si>
  <si>
    <t>　○林業経営体（次のいずれかに該当する事業を行う者）</t>
  </si>
  <si>
    <t>　　ア　権原に基づいて育林又は伐採を行うことができる山林の面積が3ｈa以上の規模の</t>
  </si>
  <si>
    <t>　　　林業</t>
  </si>
  <si>
    <t>　　イ　委託を受けて行う育林若しくは素材生産又は立木を購入して行う素材生産の事業</t>
  </si>
  <si>
    <t>５－１．　保有山林面積規模別林業経営体数(平成17年）</t>
  </si>
  <si>
    <t>５－２．　保有山林の人工林率別林業経営体数（平成１７年）</t>
  </si>
  <si>
    <t>５－３．　人工林のある経営体の人工林齢級別経営体数及び人工林面積(平成17年）</t>
  </si>
  <si>
    <t>５－４．　市町村別の林野面積及び森林面積(平成17年）</t>
  </si>
  <si>
    <t>５－５．　林産物生産量（平成13～18年）</t>
  </si>
  <si>
    <t>５－６．　製材工場、生産及び出荷量（平成13～18年）</t>
  </si>
  <si>
    <t>５－７．　市町村別の目的別保安林面積（平成17、18年度）</t>
  </si>
  <si>
    <t>５－８．　林  道(平成17、18年度）</t>
  </si>
  <si>
    <t>５－９．　国有林の林種別蓄積(平成18年度)</t>
  </si>
  <si>
    <t>５－10．民有林の林種別蓄積（平成18年度）</t>
  </si>
  <si>
    <t>３ ～ ５ha</t>
  </si>
  <si>
    <t>５ ～ 10</t>
  </si>
  <si>
    <t>10 ～ 20</t>
  </si>
  <si>
    <t>20 ～ 30</t>
  </si>
  <si>
    <t>30 ～ 50</t>
  </si>
  <si>
    <t>50 ～ 100</t>
  </si>
  <si>
    <t>100 ～ 500</t>
  </si>
  <si>
    <t>500～1,000</t>
  </si>
  <si>
    <t xml:space="preserve">山形市　　　　　　　　　　　　          </t>
  </si>
  <si>
    <t xml:space="preserve">米沢市　　　　　　　　　　　　          </t>
  </si>
  <si>
    <t xml:space="preserve">鶴岡市　　　　　　　　　　　　          </t>
  </si>
  <si>
    <t xml:space="preserve">酒田市　　　　　　　　　　　　          </t>
  </si>
  <si>
    <t xml:space="preserve">新庄市　　　　　　　　　　　　          </t>
  </si>
  <si>
    <t xml:space="preserve">寒河江市　　　　　　　　　　　          </t>
  </si>
  <si>
    <t xml:space="preserve">上山市　　　　　　　　　　　　          </t>
  </si>
  <si>
    <t xml:space="preserve">村山市　　　　　　　　　　　　          </t>
  </si>
  <si>
    <t xml:space="preserve">長井市　　　　　　　　　　　　          </t>
  </si>
  <si>
    <t xml:space="preserve">天童市　　　　　　　　　　　　          </t>
  </si>
  <si>
    <t xml:space="preserve">東根市　　　　　　　　　　　　          </t>
  </si>
  <si>
    <t xml:space="preserve">尾花沢市　　　　　　　　　　　          </t>
  </si>
  <si>
    <t xml:space="preserve">南陽市　　　　　　　　　　　　          </t>
  </si>
  <si>
    <t xml:space="preserve">山辺町　　　　　　　　　　　　          </t>
  </si>
  <si>
    <t xml:space="preserve">中山町　　　　　　　　　　　　          </t>
  </si>
  <si>
    <t xml:space="preserve">河北町　　　　　　　　　　　　          </t>
  </si>
  <si>
    <t xml:space="preserve">西川町　　　　　　　　　　　　          </t>
  </si>
  <si>
    <t xml:space="preserve">朝日町　　　　　　　　　　　　          </t>
  </si>
  <si>
    <t xml:space="preserve">大江町　　　　　　　　　　　　          </t>
  </si>
  <si>
    <t xml:space="preserve">大石田町　　　　　　　　　　　          </t>
  </si>
  <si>
    <t xml:space="preserve">金山町　　　　　　　　　　　　          </t>
  </si>
  <si>
    <t xml:space="preserve">最上町　　　　　　　　　　　　          </t>
  </si>
  <si>
    <t xml:space="preserve">舟形町　　　　　　　　　　　　          </t>
  </si>
  <si>
    <t xml:space="preserve">真室川町　　　　　　　　　　　          </t>
  </si>
  <si>
    <t xml:space="preserve">大蔵村　　　　　　　　　　　　          </t>
  </si>
  <si>
    <t xml:space="preserve">鮭川村　　　　　　　　　　　　          </t>
  </si>
  <si>
    <t xml:space="preserve">戸沢村　　　　　　　　　　　　          </t>
  </si>
  <si>
    <t xml:space="preserve">高畠町　　　　　　　　　　　　          </t>
  </si>
  <si>
    <t xml:space="preserve">川西町　　　　　　　　　　　　          </t>
  </si>
  <si>
    <t xml:space="preserve">小国町　　　　　　　　　　　　          </t>
  </si>
  <si>
    <t xml:space="preserve">白鷹町　　　　　　　　　　　　          </t>
  </si>
  <si>
    <t xml:space="preserve">飯豊町　　　　　　　　　　　　          </t>
  </si>
  <si>
    <t xml:space="preserve">立川町　　　　　　　　　　　　          </t>
  </si>
  <si>
    <t xml:space="preserve">余目町　　　　　　　　　　　　          </t>
  </si>
  <si>
    <t xml:space="preserve">藤島町　　　　　　　　　　　　          </t>
  </si>
  <si>
    <t xml:space="preserve">羽黒町　　　　　　　　　　　　          </t>
  </si>
  <si>
    <t xml:space="preserve">櫛引町　　　　　　　　　　　　          </t>
  </si>
  <si>
    <t xml:space="preserve">三川町　　　　　　　　　　　　          </t>
  </si>
  <si>
    <t xml:space="preserve">朝日村　　　　　　　　　　　　          </t>
  </si>
  <si>
    <t xml:space="preserve">温海町　　　　　　　　　　　　          </t>
  </si>
  <si>
    <t xml:space="preserve">遊佐町　　　　　　　　　　　　          </t>
  </si>
  <si>
    <t xml:space="preserve">八幡町　　　　　　　　　　　　          </t>
  </si>
  <si>
    <t xml:space="preserve">松山町　　　　　　　　　　　　          </t>
  </si>
  <si>
    <t xml:space="preserve">平田町　　　　　　　　　　　　          </t>
  </si>
  <si>
    <t>20 ～ 40</t>
  </si>
  <si>
    <t>40 ～ 60</t>
  </si>
  <si>
    <t>60 ～ 80</t>
  </si>
  <si>
    <t>５－３．人工林のある経営体の人工林齢級別経営体数及び人工林面積（平成17年）</t>
  </si>
  <si>
    <t>面　積</t>
  </si>
  <si>
    <t>面　積</t>
  </si>
  <si>
    <t>X</t>
  </si>
  <si>
    <t>５－４．市町村別の林野面積及び森林面積(平成17年）</t>
  </si>
  <si>
    <t>区分</t>
  </si>
  <si>
    <t>村山</t>
  </si>
  <si>
    <t>最上</t>
  </si>
  <si>
    <t>置賜</t>
  </si>
  <si>
    <t>庄内</t>
  </si>
  <si>
    <t>５－５．林産物生産量（平成13～18年）</t>
  </si>
  <si>
    <t>針葉樹</t>
  </si>
  <si>
    <t>あかまつ
くろまつ</t>
  </si>
  <si>
    <t>広葉樹</t>
  </si>
  <si>
    <t>からまつ</t>
  </si>
  <si>
    <t>えぞまつ
とどまつ</t>
  </si>
  <si>
    <t>その他</t>
  </si>
  <si>
    <t>製材用</t>
  </si>
  <si>
    <t>合板用</t>
  </si>
  <si>
    <t>木材チップ用</t>
  </si>
  <si>
    <t>５－５．林産物生産量</t>
  </si>
  <si>
    <t>きのこ</t>
  </si>
  <si>
    <t>なめこ</t>
  </si>
  <si>
    <t>えのきたけ</t>
  </si>
  <si>
    <t>ひらたけ</t>
  </si>
  <si>
    <t>ぶなしめじ</t>
  </si>
  <si>
    <t>まいたけ</t>
  </si>
  <si>
    <t>まつたけ</t>
  </si>
  <si>
    <t>わらび</t>
  </si>
  <si>
    <t>５－６．製材工場、生産及び出荷量（平成13～18年）</t>
  </si>
  <si>
    <t>7.5～22.5ｋＷ</t>
  </si>
  <si>
    <t>22.5～37.5ｋＷ</t>
  </si>
  <si>
    <t>37.5～75.0ｋＷ</t>
  </si>
  <si>
    <t>75.0～150.0ｋＷ</t>
  </si>
  <si>
    <t>ニュージー
ランド材</t>
  </si>
  <si>
    <t>その他</t>
  </si>
  <si>
    <t>ひき割類</t>
  </si>
  <si>
    <t>５－７．市町村別の目的別保安林面積（平成17、18年度）</t>
  </si>
  <si>
    <t>土砂流出
防備</t>
  </si>
  <si>
    <t>土砂崩壊
防備</t>
  </si>
  <si>
    <t>飛  砂    防　備</t>
  </si>
  <si>
    <t>防風</t>
  </si>
  <si>
    <t>水　害
防　備</t>
  </si>
  <si>
    <t>潮　害
防　備</t>
  </si>
  <si>
    <t>干　害
防　備</t>
  </si>
  <si>
    <t>なだれ
防　止</t>
  </si>
  <si>
    <t>落　石
防　止　</t>
  </si>
  <si>
    <t>魚つき</t>
  </si>
  <si>
    <t>保健</t>
  </si>
  <si>
    <t>風致</t>
  </si>
  <si>
    <t>平成18年度</t>
  </si>
  <si>
    <t>５－８．林  道(平成17、18年度）</t>
  </si>
  <si>
    <t>平成18年度</t>
  </si>
  <si>
    <t>５－９．国有林の林種別蓄積(平成18年度)</t>
  </si>
  <si>
    <t>総</t>
  </si>
  <si>
    <t>数</t>
  </si>
  <si>
    <t>庄内</t>
  </si>
  <si>
    <t>村山</t>
  </si>
  <si>
    <t>置賜</t>
  </si>
  <si>
    <t>５－11．国有林の林種別面積(平成18年度)</t>
  </si>
  <si>
    <t>５－11．民有林の林種別面積(平成18年度）</t>
  </si>
  <si>
    <t>５－11． 国有林の林種別面積(平成18年度)</t>
  </si>
  <si>
    <t>５－12． 民有林の林種別面積(平成18年度）</t>
  </si>
  <si>
    <t>２月１日現在　単位：ha、経営体</t>
  </si>
  <si>
    <t>２月１日現在　単位：ha、％</t>
  </si>
  <si>
    <t>３月31日現在  単位：ha</t>
  </si>
  <si>
    <t>３月31日現在  単位：延長=ｍ</t>
  </si>
  <si>
    <r>
      <t>３月31日現在   単位：ｍ</t>
    </r>
    <r>
      <rPr>
        <vertAlign val="superscript"/>
        <sz val="8"/>
        <rFont val="ＭＳ 明朝"/>
        <family val="1"/>
      </rPr>
      <t>3</t>
    </r>
  </si>
  <si>
    <r>
      <t>３月31日現在  単位：ｍ</t>
    </r>
    <r>
      <rPr>
        <vertAlign val="superscript"/>
        <sz val="9"/>
        <rFont val="ＭＳ 明朝"/>
        <family val="1"/>
      </rPr>
      <t>３</t>
    </r>
  </si>
  <si>
    <t>３月31日現在   単位：ha</t>
  </si>
  <si>
    <t>３月31日現在  単位：ｈａ</t>
  </si>
  <si>
    <t>２月１日現在　　単位：a、経営体</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</si>
</sst>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 ##0;;\-"/>
    <numFmt numFmtId="180" formatCode="#\ ##0"/>
    <numFmt numFmtId="181" formatCode="0.0"/>
    <numFmt numFmtId="182" formatCode="#\ ###\ ##0"/>
    <numFmt numFmtId="183" formatCode="#\ ##0&quot; &quot;"/>
    <numFmt numFmtId="184" formatCode="#\ ###\ ##0&quot; &quot;"/>
    <numFmt numFmtId="185" formatCode="#\ ###\ ##0&quot; &quot;;@&quot; &quot;"/>
    <numFmt numFmtId="186" formatCode="#,##0.0;[Red]\-#,##0.0"/>
    <numFmt numFmtId="187" formatCode="#,##0\ &quot;F&quot;;\-#,##0\ &quot;F&quot;"/>
    <numFmt numFmtId="188" formatCode="#,##0\ &quot;F&quot;;[Red]\-#,##0\ &quot;F&quot;"/>
    <numFmt numFmtId="189" formatCode="#,##0.00\ &quot;F&quot;;\-#,##0.00\ &quot;F&quot;"/>
    <numFmt numFmtId="190" formatCode="#,##0.00\ &quot;F&quot;;[Red]\-#,##0.00\ &quot;F&quot;"/>
    <numFmt numFmtId="191" formatCode="_-* #,##0\ &quot;F&quot;_-;\-* #,##0\ &quot;F&quot;_-;_-* &quot;-&quot;\ &quot;F&quot;_-;_-@_-"/>
    <numFmt numFmtId="192" formatCode="_-* #,##0\ _F_-;\-* #,##0\ _F_-;_-* &quot;-&quot;\ _F_-;_-@_-"/>
    <numFmt numFmtId="193" formatCode="_-* #,##0.00\ &quot;F&quot;_-;\-* #,##0.00\ &quot;F&quot;_-;_-* &quot;-&quot;??\ &quot;F&quot;_-;_-@_-"/>
    <numFmt numFmtId="194" formatCode="_-* #,##0.00\ _F_-;\-* #,##0.00\ _F_-;_-* &quot;-&quot;??\ _F_-;_-@_-"/>
    <numFmt numFmtId="195" formatCode="0E+00"/>
    <numFmt numFmtId="196" formatCode="\$#,##0.00;\(\$#,##0.00\)"/>
    <numFmt numFmtId="197" formatCode="\$#,##0;\(\$#,##0\)"/>
    <numFmt numFmtId="198" formatCode="[$-411]ee\-m\-d"/>
    <numFmt numFmtId="199" formatCode="m/d"/>
    <numFmt numFmtId="200" formatCode="m/d/yy\ h:mm"/>
    <numFmt numFmtId="201" formatCode="[$-411]ee/m/d"/>
    <numFmt numFmtId="202" formatCode="[$-411]ee&quot;年&quot;m&quot;月&quot;d&quot;日&quot;"/>
    <numFmt numFmtId="203" formatCode="[$-411]gggee&quot;年&quot;m&quot;月&quot;d&quot;日&quot;"/>
    <numFmt numFmtId="204" formatCode=";;\-"/>
    <numFmt numFmtId="205" formatCode="#\ ###\ ##0;[Red]&quot;△&quot;#\ ###\ ##0;\-"/>
    <numFmt numFmtId="206" formatCode="#\ ##0;;&quot;      －&quot;"/>
    <numFmt numFmtId="207" formatCode="#\ ##0;;&quot;       －&quot;"/>
    <numFmt numFmtId="208" formatCode="#\ ##0;;&quot;        －&quot;"/>
    <numFmt numFmtId="209" formatCode="\(\)"/>
    <numFmt numFmtId="210" formatCode="&quot;()&quot;"/>
    <numFmt numFmtId="211" formatCode="0;;\(\)"/>
    <numFmt numFmtId="212" formatCode="\(0\)"/>
    <numFmt numFmtId="213" formatCode="#\ ##0;;&quot;    －&quot;"/>
    <numFmt numFmtId="214" formatCode="#\ ##0;;&quot;  －&quot;"/>
    <numFmt numFmtId="215" formatCode="#\ ##0&quot; &quot;;\-#\ ###&quot; &quot;;0&quot; &quot;;@&quot; &quot;"/>
    <numFmt numFmtId="216" formatCode="\-&quot; &quot;"/>
    <numFmt numFmtId="217" formatCode="#,##0.0;&quot;△ &quot;#,##0.0"/>
    <numFmt numFmtId="218" formatCode="#,##0;&quot;△ &quot;#,##0"/>
    <numFmt numFmtId="219" formatCode="&quot;Yes&quot;;&quot;Yes&quot;;&quot;No&quot;"/>
    <numFmt numFmtId="220" formatCode="&quot;True&quot;;&quot;True&quot;;&quot;False&quot;"/>
    <numFmt numFmtId="221" formatCode="&quot;On&quot;;&quot;On&quot;;&quot;Off&quot;"/>
    <numFmt numFmtId="222" formatCode="[$€-2]\ #,##0.00_);[Red]\([$€-2]\ #,##0.00\)"/>
  </numFmts>
  <fonts count="24">
    <font>
      <sz val="11"/>
      <name val="ＭＳ Ｐゴシック"/>
      <family val="3"/>
    </font>
    <font>
      <sz val="6"/>
      <name val="ＭＳ Ｐゴシック"/>
      <family val="3"/>
    </font>
    <font>
      <sz val="12"/>
      <name val="ＭＳ 明朝"/>
      <family val="1"/>
    </font>
    <font>
      <sz val="9"/>
      <name val="ＭＳ 明朝"/>
      <family val="1"/>
    </font>
    <font>
      <sz val="11"/>
      <name val="ＭＳ 明朝"/>
      <family val="1"/>
    </font>
    <font>
      <sz val="9"/>
      <name val="ＭＳ ゴシック"/>
      <family val="3"/>
    </font>
    <font>
      <sz val="11"/>
      <name val="ＭＳ Ｐ明朝"/>
      <family val="1"/>
    </font>
    <font>
      <sz val="10"/>
      <name val="ＭＳ 明朝"/>
      <family val="1"/>
    </font>
    <font>
      <sz val="10"/>
      <name val="ＭＳ Ｐゴシック"/>
      <family val="3"/>
    </font>
    <font>
      <sz val="10"/>
      <name val="ＭＳ ゴシック"/>
      <family val="3"/>
    </font>
    <font>
      <sz val="10"/>
      <name val="ＭＳ Ｐ明朝"/>
      <family val="1"/>
    </font>
    <font>
      <sz val="12"/>
      <name val="ＭＳ Ｐ明朝"/>
      <family val="1"/>
    </font>
    <font>
      <sz val="14"/>
      <name val="ＭＳ Ｐ明朝"/>
      <family val="1"/>
    </font>
    <font>
      <u val="single"/>
      <sz val="8.25"/>
      <color indexed="12"/>
      <name val="ＭＳ Ｐゴシック"/>
      <family val="3"/>
    </font>
    <font>
      <sz val="12"/>
      <name val="System"/>
      <family val="0"/>
    </font>
    <font>
      <sz val="8"/>
      <name val="ＭＳ 明朝"/>
      <family val="1"/>
    </font>
    <font>
      <u val="single"/>
      <sz val="11"/>
      <color indexed="36"/>
      <name val="ＭＳ Ｐゴシック"/>
      <family val="3"/>
    </font>
    <font>
      <vertAlign val="superscript"/>
      <sz val="10"/>
      <name val="ＭＳ 明朝"/>
      <family val="1"/>
    </font>
    <font>
      <vertAlign val="superscript"/>
      <sz val="8"/>
      <name val="ＭＳ 明朝"/>
      <family val="1"/>
    </font>
    <font>
      <vertAlign val="superscript"/>
      <sz val="9"/>
      <name val="ＭＳ 明朝"/>
      <family val="1"/>
    </font>
    <font>
      <b/>
      <sz val="12"/>
      <name val="ＭＳ ゴシック"/>
      <family val="3"/>
    </font>
    <font>
      <sz val="10.5"/>
      <name val="ＭＳ 明朝"/>
      <family val="1"/>
    </font>
    <font>
      <sz val="10.5"/>
      <name val="Century"/>
      <family val="1"/>
    </font>
    <font>
      <sz val="6"/>
      <name val="ＭＳ 明朝"/>
      <family val="1"/>
    </font>
  </fonts>
  <fills count="2">
    <fill>
      <patternFill/>
    </fill>
    <fill>
      <patternFill patternType="gray125"/>
    </fill>
  </fills>
  <borders count="43">
    <border>
      <left/>
      <right/>
      <top/>
      <bottom/>
      <diagonal/>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style="double"/>
      <bottom style="thin"/>
    </border>
    <border>
      <left style="thin"/>
      <right>
        <color indexed="63"/>
      </right>
      <top style="double"/>
      <bottom style="thin"/>
    </border>
    <border>
      <left style="thin"/>
      <right style="hair"/>
      <top>
        <color indexed="63"/>
      </top>
      <bottom style="thin"/>
    </border>
    <border>
      <left>
        <color indexed="63"/>
      </left>
      <right style="hair"/>
      <top>
        <color indexed="63"/>
      </top>
      <bottom style="thin"/>
    </border>
    <border>
      <left style="thin"/>
      <right style="hair"/>
      <top>
        <color indexed="63"/>
      </top>
      <bottom>
        <color indexed="63"/>
      </bottom>
    </border>
    <border>
      <left>
        <color indexed="63"/>
      </left>
      <right style="hair"/>
      <top>
        <color indexed="63"/>
      </top>
      <bottom>
        <color indexed="63"/>
      </bottom>
    </border>
    <border>
      <left>
        <color indexed="63"/>
      </left>
      <right style="thin"/>
      <top style="double"/>
      <bottom style="thin"/>
    </border>
    <border>
      <left>
        <color indexed="63"/>
      </left>
      <right style="thin"/>
      <top>
        <color indexed="63"/>
      </top>
      <bottom style="double"/>
    </border>
    <border>
      <left>
        <color indexed="63"/>
      </left>
      <right>
        <color indexed="63"/>
      </right>
      <top style="double"/>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style="double"/>
    </border>
    <border>
      <left>
        <color indexed="63"/>
      </left>
      <right style="hair"/>
      <top style="double"/>
      <bottom>
        <color indexed="63"/>
      </bottom>
    </border>
    <border>
      <left style="thin"/>
      <right style="hair"/>
      <top style="double"/>
      <bottom style="thin"/>
    </border>
    <border>
      <left>
        <color indexed="63"/>
      </left>
      <right style="hair"/>
      <top style="double"/>
      <bottom style="thin"/>
    </border>
    <border>
      <left>
        <color indexed="63"/>
      </left>
      <right style="thin"/>
      <top>
        <color indexed="63"/>
      </top>
      <bottom style="medium"/>
    </border>
    <border>
      <left>
        <color indexed="63"/>
      </left>
      <right>
        <color indexed="63"/>
      </right>
      <top style="medium"/>
      <bottom>
        <color indexed="63"/>
      </bottom>
    </border>
    <border>
      <left style="thin"/>
      <right style="hair"/>
      <top>
        <color indexed="63"/>
      </top>
      <bottom style="medium"/>
    </border>
    <border>
      <left>
        <color indexed="63"/>
      </left>
      <right style="hair"/>
      <top>
        <color indexed="63"/>
      </top>
      <bottom style="medium"/>
    </border>
    <border>
      <left style="thin"/>
      <right>
        <color indexed="63"/>
      </right>
      <top>
        <color indexed="63"/>
      </top>
      <bottom style="double"/>
    </border>
    <border>
      <left style="thin"/>
      <right style="thin"/>
      <top style="double"/>
      <bottom>
        <color indexed="63"/>
      </botto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s>
  <cellStyleXfs count="4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cellStyleXfs>
  <cellXfs count="508">
    <xf numFmtId="0" fontId="0" fillId="0" borderId="0" xfId="0" applyAlignment="1">
      <alignment vertical="center"/>
    </xf>
    <xf numFmtId="0" fontId="2" fillId="0" borderId="0" xfId="0" applyNumberFormat="1" applyFont="1" applyFill="1" applyAlignment="1">
      <alignment vertical="center"/>
    </xf>
    <xf numFmtId="49" fontId="3" fillId="0" borderId="0" xfId="22" applyNumberFormat="1" applyFont="1" applyBorder="1" applyAlignment="1">
      <alignment vertical="center"/>
      <protection/>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49" fontId="4" fillId="0" borderId="0" xfId="38" applyNumberFormat="1" applyFont="1">
      <alignment/>
      <protection/>
    </xf>
    <xf numFmtId="0" fontId="3" fillId="0" borderId="0" xfId="0" applyNumberFormat="1" applyFont="1" applyFill="1" applyBorder="1" applyAlignment="1">
      <alignment horizontal="right" vertical="center"/>
    </xf>
    <xf numFmtId="176" fontId="5" fillId="0" borderId="1" xfId="38" applyNumberFormat="1" applyFont="1" applyFill="1" applyBorder="1" applyAlignment="1">
      <alignment horizontal="right" shrinkToFit="1"/>
      <protection/>
    </xf>
    <xf numFmtId="176" fontId="5" fillId="0" borderId="2" xfId="38" applyNumberFormat="1" applyFont="1" applyFill="1" applyBorder="1" applyAlignment="1">
      <alignment horizontal="right" shrinkToFit="1"/>
      <protection/>
    </xf>
    <xf numFmtId="49" fontId="4" fillId="0" borderId="0" xfId="38" applyNumberFormat="1" applyFont="1" applyBorder="1">
      <alignment/>
      <protection/>
    </xf>
    <xf numFmtId="0" fontId="3" fillId="0" borderId="0" xfId="22" applyFont="1" applyBorder="1" applyAlignment="1">
      <alignment horizontal="distributed"/>
      <protection/>
    </xf>
    <xf numFmtId="176" fontId="3" fillId="0" borderId="1" xfId="38" applyNumberFormat="1" applyFont="1" applyFill="1" applyBorder="1" applyAlignment="1">
      <alignment horizontal="right" shrinkToFit="1"/>
      <protection/>
    </xf>
    <xf numFmtId="176" fontId="3" fillId="0" borderId="2" xfId="38" applyNumberFormat="1" applyFont="1" applyFill="1" applyBorder="1" applyAlignment="1">
      <alignment horizontal="right" shrinkToFit="1"/>
      <protection/>
    </xf>
    <xf numFmtId="0" fontId="5" fillId="0" borderId="0" xfId="22" applyFont="1" applyBorder="1" applyAlignment="1">
      <alignment horizontal="distributed"/>
      <protection/>
    </xf>
    <xf numFmtId="49" fontId="3" fillId="0" borderId="1" xfId="38" applyNumberFormat="1" applyFont="1" applyFill="1" applyBorder="1" applyAlignment="1">
      <alignment horizontal="right"/>
      <protection/>
    </xf>
    <xf numFmtId="49" fontId="3" fillId="0" borderId="2" xfId="38" applyNumberFormat="1" applyFont="1" applyFill="1" applyBorder="1" applyAlignment="1">
      <alignment horizontal="right"/>
      <protection/>
    </xf>
    <xf numFmtId="0" fontId="3" fillId="0" borderId="3" xfId="22" applyFont="1" applyBorder="1" applyAlignment="1">
      <alignment horizontal="distributed"/>
      <protection/>
    </xf>
    <xf numFmtId="176" fontId="3" fillId="0" borderId="4" xfId="38" applyNumberFormat="1" applyFont="1" applyFill="1" applyBorder="1" applyAlignment="1">
      <alignment horizontal="right" shrinkToFit="1"/>
      <protection/>
    </xf>
    <xf numFmtId="49" fontId="3" fillId="0" borderId="4" xfId="38" applyNumberFormat="1" applyFont="1" applyFill="1" applyBorder="1" applyAlignment="1">
      <alignment horizontal="right"/>
      <protection/>
    </xf>
    <xf numFmtId="49" fontId="3" fillId="0" borderId="5" xfId="38" applyNumberFormat="1" applyFont="1" applyFill="1" applyBorder="1" applyAlignment="1">
      <alignment horizontal="right"/>
      <protection/>
    </xf>
    <xf numFmtId="0" fontId="3" fillId="0" borderId="0" xfId="22" applyFont="1" applyBorder="1" applyAlignment="1">
      <alignment vertical="center"/>
      <protection/>
    </xf>
    <xf numFmtId="49" fontId="3" fillId="0" borderId="0" xfId="38" applyNumberFormat="1" applyFont="1" applyFill="1" applyAlignment="1">
      <alignment horizontal="right"/>
      <protection/>
    </xf>
    <xf numFmtId="49" fontId="3" fillId="0" borderId="0" xfId="38" applyNumberFormat="1" applyFont="1" applyFill="1">
      <alignment/>
      <protection/>
    </xf>
    <xf numFmtId="0" fontId="2" fillId="0" borderId="0" xfId="0" applyFont="1" applyAlignment="1">
      <alignment vertical="center"/>
    </xf>
    <xf numFmtId="0" fontId="6"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176" fontId="9" fillId="0" borderId="1" xfId="39" applyNumberFormat="1" applyFont="1" applyFill="1" applyBorder="1" applyAlignment="1">
      <alignment horizontal="right" shrinkToFit="1"/>
      <protection/>
    </xf>
    <xf numFmtId="176" fontId="9" fillId="0" borderId="2" xfId="39" applyNumberFormat="1" applyFont="1" applyFill="1" applyBorder="1" applyAlignment="1">
      <alignment horizontal="right" shrinkToFit="1"/>
      <protection/>
    </xf>
    <xf numFmtId="0" fontId="9" fillId="0" borderId="0" xfId="23" applyFont="1" applyBorder="1" applyAlignment="1">
      <alignment horizontal="distributed"/>
      <protection/>
    </xf>
    <xf numFmtId="0" fontId="7" fillId="0" borderId="0" xfId="23" applyFont="1" applyBorder="1" applyAlignment="1">
      <alignment horizontal="distributed"/>
      <protection/>
    </xf>
    <xf numFmtId="176" fontId="7" fillId="0" borderId="1" xfId="39" applyNumberFormat="1" applyFont="1" applyFill="1" applyBorder="1" applyAlignment="1">
      <alignment horizontal="right" shrinkToFit="1"/>
      <protection/>
    </xf>
    <xf numFmtId="176" fontId="7" fillId="0" borderId="2" xfId="39" applyNumberFormat="1" applyFont="1" applyFill="1" applyBorder="1" applyAlignment="1">
      <alignment horizontal="right" shrinkToFit="1"/>
      <protection/>
    </xf>
    <xf numFmtId="49" fontId="7" fillId="0" borderId="1" xfId="39" applyNumberFormat="1" applyFont="1" applyFill="1" applyBorder="1" applyAlignment="1">
      <alignment horizontal="right"/>
      <protection/>
    </xf>
    <xf numFmtId="0" fontId="7" fillId="0" borderId="3" xfId="23" applyFont="1" applyBorder="1" applyAlignment="1">
      <alignment horizontal="distributed"/>
      <protection/>
    </xf>
    <xf numFmtId="176" fontId="7" fillId="0" borderId="4" xfId="39" applyNumberFormat="1" applyFont="1" applyFill="1" applyBorder="1" applyAlignment="1">
      <alignment horizontal="right" shrinkToFit="1"/>
      <protection/>
    </xf>
    <xf numFmtId="49" fontId="7" fillId="0" borderId="4" xfId="39" applyNumberFormat="1" applyFont="1" applyFill="1" applyBorder="1" applyAlignment="1">
      <alignment horizontal="right"/>
      <protection/>
    </xf>
    <xf numFmtId="176" fontId="7" fillId="0" borderId="5" xfId="39" applyNumberFormat="1" applyFont="1" applyFill="1" applyBorder="1" applyAlignment="1">
      <alignment horizontal="right" shrinkToFit="1"/>
      <protection/>
    </xf>
    <xf numFmtId="49" fontId="2" fillId="0" borderId="0" xfId="24" applyNumberFormat="1" applyFont="1" applyBorder="1" applyAlignment="1">
      <alignment vertical="center"/>
      <protection/>
    </xf>
    <xf numFmtId="49" fontId="4" fillId="0" borderId="0" xfId="40" applyNumberFormat="1" applyFont="1">
      <alignment/>
      <protection/>
    </xf>
    <xf numFmtId="49" fontId="3" fillId="0" borderId="0" xfId="24" applyNumberFormat="1" applyFont="1" applyBorder="1" applyAlignment="1">
      <alignment vertical="center"/>
      <protection/>
    </xf>
    <xf numFmtId="0" fontId="3" fillId="0" borderId="0" xfId="37" applyNumberFormat="1" applyFont="1" applyFill="1" applyBorder="1" applyAlignment="1">
      <alignment vertical="center"/>
      <protection/>
    </xf>
    <xf numFmtId="49" fontId="7" fillId="0" borderId="0" xfId="40" applyNumberFormat="1" applyFont="1" applyAlignment="1">
      <alignment horizontal="right"/>
      <protection/>
    </xf>
    <xf numFmtId="49" fontId="7" fillId="0" borderId="0" xfId="40" applyNumberFormat="1" applyFont="1">
      <alignment/>
      <protection/>
    </xf>
    <xf numFmtId="176" fontId="9" fillId="0" borderId="1" xfId="40" applyNumberFormat="1" applyFont="1" applyBorder="1" applyAlignment="1">
      <alignment horizontal="right" shrinkToFit="1"/>
      <protection/>
    </xf>
    <xf numFmtId="176" fontId="9" fillId="0" borderId="2" xfId="40" applyNumberFormat="1" applyFont="1" applyBorder="1" applyAlignment="1">
      <alignment horizontal="right" shrinkToFit="1"/>
      <protection/>
    </xf>
    <xf numFmtId="49" fontId="7" fillId="0" borderId="0" xfId="40" applyNumberFormat="1" applyFont="1" applyBorder="1">
      <alignment/>
      <protection/>
    </xf>
    <xf numFmtId="0" fontId="7" fillId="0" borderId="0" xfId="24" applyFont="1" applyBorder="1" applyAlignment="1">
      <alignment horizontal="distributed" vertical="center"/>
      <protection/>
    </xf>
    <xf numFmtId="176" fontId="7" fillId="0" borderId="1" xfId="40" applyNumberFormat="1" applyFont="1" applyBorder="1" applyAlignment="1">
      <alignment horizontal="right" shrinkToFit="1"/>
      <protection/>
    </xf>
    <xf numFmtId="176" fontId="7" fillId="0" borderId="2" xfId="40" applyNumberFormat="1" applyFont="1" applyBorder="1" applyAlignment="1">
      <alignment horizontal="right" shrinkToFit="1"/>
      <protection/>
    </xf>
    <xf numFmtId="38" fontId="9" fillId="0" borderId="6" xfId="0" applyNumberFormat="1" applyFont="1" applyBorder="1" applyAlignment="1">
      <alignment horizontal="distributed" vertical="center"/>
    </xf>
    <xf numFmtId="41" fontId="9" fillId="0" borderId="1" xfId="0" applyNumberFormat="1" applyFont="1" applyBorder="1" applyAlignment="1">
      <alignment vertical="center"/>
    </xf>
    <xf numFmtId="41" fontId="9" fillId="0" borderId="2" xfId="0" applyNumberFormat="1" applyFont="1" applyBorder="1" applyAlignment="1">
      <alignment vertical="center"/>
    </xf>
    <xf numFmtId="176" fontId="7" fillId="0" borderId="1" xfId="40" applyNumberFormat="1" applyFont="1" applyFill="1" applyBorder="1" applyAlignment="1">
      <alignment horizontal="right" shrinkToFit="1"/>
      <protection/>
    </xf>
    <xf numFmtId="49" fontId="7" fillId="0" borderId="1" xfId="40" applyNumberFormat="1" applyFont="1" applyFill="1" applyBorder="1" applyAlignment="1">
      <alignment horizontal="right"/>
      <protection/>
    </xf>
    <xf numFmtId="0" fontId="7" fillId="0" borderId="3" xfId="24" applyFont="1" applyBorder="1" applyAlignment="1">
      <alignment horizontal="distributed" vertical="center"/>
      <protection/>
    </xf>
    <xf numFmtId="176" fontId="7" fillId="0" borderId="4" xfId="40" applyNumberFormat="1" applyFont="1" applyBorder="1" applyAlignment="1">
      <alignment horizontal="right" shrinkToFit="1"/>
      <protection/>
    </xf>
    <xf numFmtId="176" fontId="7" fillId="0" borderId="5" xfId="40" applyNumberFormat="1" applyFont="1" applyBorder="1" applyAlignment="1">
      <alignment horizontal="right" shrinkToFit="1"/>
      <protection/>
    </xf>
    <xf numFmtId="0" fontId="3" fillId="0" borderId="0" xfId="24" applyFont="1" applyBorder="1" applyAlignment="1">
      <alignment vertical="center"/>
      <protection/>
    </xf>
    <xf numFmtId="49" fontId="3" fillId="0" borderId="0" xfId="40" applyNumberFormat="1" applyFont="1">
      <alignment/>
      <protection/>
    </xf>
    <xf numFmtId="38" fontId="2" fillId="0" borderId="0" xfId="17" applyFont="1" applyBorder="1" applyAlignment="1">
      <alignment/>
    </xf>
    <xf numFmtId="38" fontId="10" fillId="0" borderId="0" xfId="17" applyFont="1" applyAlignment="1">
      <alignment/>
    </xf>
    <xf numFmtId="38" fontId="11" fillId="0" borderId="0" xfId="17" applyFont="1" applyAlignment="1">
      <alignment horizontal="center"/>
    </xf>
    <xf numFmtId="38" fontId="10" fillId="0" borderId="0" xfId="17" applyFont="1" applyBorder="1" applyAlignment="1">
      <alignment/>
    </xf>
    <xf numFmtId="38" fontId="7" fillId="0" borderId="0" xfId="17" applyFont="1" applyBorder="1" applyAlignment="1">
      <alignment horizontal="right"/>
    </xf>
    <xf numFmtId="38" fontId="7" fillId="0" borderId="0" xfId="17" applyFont="1" applyAlignment="1">
      <alignment/>
    </xf>
    <xf numFmtId="38" fontId="9" fillId="0" borderId="7" xfId="17" applyFont="1" applyBorder="1" applyAlignment="1">
      <alignment horizontal="distributed"/>
    </xf>
    <xf numFmtId="38" fontId="9" fillId="0" borderId="8" xfId="17" applyFont="1" applyBorder="1" applyAlignment="1">
      <alignment horizontal="right"/>
    </xf>
    <xf numFmtId="38" fontId="9" fillId="0" borderId="8" xfId="17" applyFont="1" applyFill="1" applyBorder="1" applyAlignment="1">
      <alignment horizontal="right"/>
    </xf>
    <xf numFmtId="186" fontId="9" fillId="0" borderId="9" xfId="17" applyNumberFormat="1" applyFont="1" applyBorder="1" applyAlignment="1">
      <alignment horizontal="right"/>
    </xf>
    <xf numFmtId="38" fontId="8" fillId="0" borderId="0" xfId="17" applyFont="1" applyAlignment="1">
      <alignment/>
    </xf>
    <xf numFmtId="38" fontId="9" fillId="0" borderId="0" xfId="17" applyFont="1" applyBorder="1" applyAlignment="1" applyProtection="1">
      <alignment horizontal="distributed"/>
      <protection locked="0"/>
    </xf>
    <xf numFmtId="38" fontId="9" fillId="0" borderId="1" xfId="17" applyFont="1" applyBorder="1" applyAlignment="1">
      <alignment horizontal="right"/>
    </xf>
    <xf numFmtId="38" fontId="9" fillId="0" borderId="1" xfId="17" applyFont="1" applyFill="1" applyBorder="1" applyAlignment="1">
      <alignment horizontal="right"/>
    </xf>
    <xf numFmtId="186" fontId="9" fillId="0" borderId="2" xfId="17" applyNumberFormat="1" applyFont="1" applyBorder="1" applyAlignment="1">
      <alignment horizontal="right"/>
    </xf>
    <xf numFmtId="38" fontId="7" fillId="0" borderId="0" xfId="17" applyFont="1" applyBorder="1" applyAlignment="1" applyProtection="1">
      <alignment horizontal="distributed"/>
      <protection locked="0"/>
    </xf>
    <xf numFmtId="38" fontId="7" fillId="0" borderId="1" xfId="17" applyFont="1" applyBorder="1" applyAlignment="1">
      <alignment horizontal="right"/>
    </xf>
    <xf numFmtId="38" fontId="7" fillId="0" borderId="1" xfId="17" applyFont="1" applyFill="1" applyBorder="1" applyAlignment="1">
      <alignment horizontal="right"/>
    </xf>
    <xf numFmtId="186" fontId="7" fillId="0" borderId="2" xfId="17" applyNumberFormat="1" applyFont="1" applyBorder="1" applyAlignment="1">
      <alignment horizontal="right"/>
    </xf>
    <xf numFmtId="38" fontId="7" fillId="0" borderId="1" xfId="17" applyFont="1" applyBorder="1" applyAlignment="1" applyProtection="1">
      <alignment horizontal="right"/>
      <protection locked="0"/>
    </xf>
    <xf numFmtId="38" fontId="7" fillId="0" borderId="1" xfId="17" applyFont="1" applyBorder="1" applyAlignment="1" applyProtection="1" quotePrefix="1">
      <alignment horizontal="right"/>
      <protection locked="0"/>
    </xf>
    <xf numFmtId="38" fontId="7" fillId="0" borderId="1" xfId="17" applyFont="1" applyFill="1" applyBorder="1" applyAlignment="1" applyProtection="1" quotePrefix="1">
      <alignment horizontal="right"/>
      <protection locked="0"/>
    </xf>
    <xf numFmtId="38" fontId="7" fillId="0" borderId="3" xfId="17" applyFont="1" applyBorder="1" applyAlignment="1" applyProtection="1">
      <alignment horizontal="distributed"/>
      <protection locked="0"/>
    </xf>
    <xf numFmtId="38" fontId="7" fillId="0" borderId="4" xfId="17" applyFont="1" applyBorder="1" applyAlignment="1">
      <alignment horizontal="right"/>
    </xf>
    <xf numFmtId="38" fontId="7" fillId="0" borderId="4" xfId="17" applyFont="1" applyBorder="1" applyAlignment="1" applyProtection="1">
      <alignment horizontal="right"/>
      <protection locked="0"/>
    </xf>
    <xf numFmtId="38" fontId="7" fillId="0" borderId="4" xfId="17" applyFont="1" applyFill="1" applyBorder="1" applyAlignment="1">
      <alignment horizontal="right"/>
    </xf>
    <xf numFmtId="186" fontId="7" fillId="0" borderId="5" xfId="17" applyNumberFormat="1" applyFont="1" applyBorder="1" applyAlignment="1">
      <alignment horizontal="right"/>
    </xf>
    <xf numFmtId="0" fontId="7" fillId="0" borderId="0" xfId="0" applyFont="1" applyAlignment="1">
      <alignment vertical="center"/>
    </xf>
    <xf numFmtId="0" fontId="7" fillId="0" borderId="0" xfId="35" applyFont="1" applyProtection="1">
      <alignment/>
      <protection locked="0"/>
    </xf>
    <xf numFmtId="0" fontId="7" fillId="0" borderId="0" xfId="35" applyFont="1">
      <alignment/>
      <protection/>
    </xf>
    <xf numFmtId="0" fontId="7" fillId="0" borderId="10" xfId="35" applyFont="1" applyBorder="1" applyAlignment="1" applyProtection="1">
      <alignment horizontal="right"/>
      <protection locked="0"/>
    </xf>
    <xf numFmtId="0" fontId="7" fillId="0" borderId="0" xfId="35" applyFont="1" applyBorder="1" applyAlignment="1" applyProtection="1">
      <alignment/>
      <protection locked="0"/>
    </xf>
    <xf numFmtId="0" fontId="7" fillId="0" borderId="0" xfId="35" applyFont="1" applyBorder="1" applyAlignment="1" applyProtection="1">
      <alignment vertical="center"/>
      <protection locked="0"/>
    </xf>
    <xf numFmtId="0" fontId="4" fillId="0" borderId="0" xfId="25" applyFont="1" applyBorder="1" applyAlignment="1">
      <alignment vertical="center"/>
      <protection/>
    </xf>
    <xf numFmtId="0" fontId="7" fillId="0" borderId="11" xfId="35" applyFont="1" applyBorder="1" applyAlignment="1" applyProtection="1">
      <alignment horizontal="distributed"/>
      <protection locked="0"/>
    </xf>
    <xf numFmtId="183" fontId="7" fillId="0" borderId="2" xfId="35" applyNumberFormat="1" applyFont="1" applyBorder="1" applyProtection="1">
      <alignment/>
      <protection locked="0"/>
    </xf>
    <xf numFmtId="183" fontId="7" fillId="0" borderId="1" xfId="35" applyNumberFormat="1" applyFont="1" applyBorder="1" applyProtection="1">
      <alignment/>
      <protection locked="0"/>
    </xf>
    <xf numFmtId="183" fontId="7" fillId="0" borderId="0" xfId="35" applyNumberFormat="1" applyFont="1" applyBorder="1" applyProtection="1">
      <alignment/>
      <protection locked="0"/>
    </xf>
    <xf numFmtId="0" fontId="7" fillId="0" borderId="6" xfId="35" applyFont="1" applyBorder="1" applyAlignment="1" applyProtection="1">
      <alignment horizontal="distributed"/>
      <protection locked="0"/>
    </xf>
    <xf numFmtId="183" fontId="9" fillId="0" borderId="0" xfId="35" applyNumberFormat="1" applyFont="1" applyBorder="1" applyProtection="1">
      <alignment/>
      <protection locked="0"/>
    </xf>
    <xf numFmtId="0" fontId="7" fillId="0" borderId="0" xfId="35" applyFont="1" applyBorder="1" applyAlignment="1" applyProtection="1">
      <alignment horizontal="center" vertical="center"/>
      <protection locked="0"/>
    </xf>
    <xf numFmtId="183" fontId="7" fillId="0" borderId="1" xfId="36" applyNumberFormat="1" applyFont="1" applyBorder="1" applyAlignment="1" applyProtection="1" quotePrefix="1">
      <alignment horizontal="right"/>
      <protection locked="0"/>
    </xf>
    <xf numFmtId="0" fontId="7" fillId="0" borderId="0" xfId="35" applyFont="1" applyBorder="1" applyAlignment="1">
      <alignment/>
      <protection/>
    </xf>
    <xf numFmtId="0" fontId="7" fillId="0" borderId="10" xfId="35" applyFont="1" applyBorder="1" applyAlignment="1">
      <alignment/>
      <protection/>
    </xf>
    <xf numFmtId="0" fontId="4" fillId="0" borderId="0" xfId="25" applyFont="1" applyBorder="1" applyAlignment="1">
      <alignment/>
      <protection/>
    </xf>
    <xf numFmtId="41" fontId="7" fillId="0" borderId="1" xfId="35" applyNumberFormat="1" applyFont="1" applyBorder="1" applyProtection="1">
      <alignment/>
      <protection locked="0"/>
    </xf>
    <xf numFmtId="0" fontId="7" fillId="0" borderId="0" xfId="35" applyFont="1" applyBorder="1">
      <alignment/>
      <protection/>
    </xf>
    <xf numFmtId="41" fontId="7" fillId="0" borderId="1" xfId="35" applyNumberFormat="1" applyFont="1" applyBorder="1" applyAlignment="1" applyProtection="1">
      <alignment horizontal="right"/>
      <protection locked="0"/>
    </xf>
    <xf numFmtId="41" fontId="7" fillId="0" borderId="0" xfId="35" applyNumberFormat="1" applyFont="1" applyBorder="1" applyAlignment="1" applyProtection="1">
      <alignment horizontal="right"/>
      <protection locked="0"/>
    </xf>
    <xf numFmtId="0" fontId="9" fillId="0" borderId="0" xfId="35" applyFont="1" applyBorder="1">
      <alignment/>
      <protection/>
    </xf>
    <xf numFmtId="41" fontId="9" fillId="0" borderId="0" xfId="35" applyNumberFormat="1" applyFont="1" applyBorder="1" applyAlignment="1" applyProtection="1">
      <alignment horizontal="right"/>
      <protection locked="0"/>
    </xf>
    <xf numFmtId="0" fontId="7" fillId="0" borderId="0" xfId="0" applyFont="1" applyFill="1" applyAlignment="1">
      <alignment vertical="center"/>
    </xf>
    <xf numFmtId="0" fontId="2" fillId="0" borderId="0" xfId="0" applyFont="1" applyFill="1" applyAlignment="1">
      <alignment vertical="center"/>
    </xf>
    <xf numFmtId="0" fontId="7" fillId="0" borderId="0" xfId="0" applyFont="1" applyFill="1" applyAlignment="1">
      <alignment horizontal="right" vertical="center"/>
    </xf>
    <xf numFmtId="0" fontId="7" fillId="0" borderId="12" xfId="0" applyFont="1" applyFill="1" applyBorder="1" applyAlignment="1">
      <alignment vertical="center"/>
    </xf>
    <xf numFmtId="0" fontId="7" fillId="0" borderId="13" xfId="0" applyFont="1" applyFill="1" applyBorder="1" applyAlignment="1">
      <alignment horizontal="centerContinuous" vertical="center"/>
    </xf>
    <xf numFmtId="0" fontId="7" fillId="0" borderId="14" xfId="0" applyFont="1" applyFill="1" applyBorder="1" applyAlignment="1">
      <alignment horizontal="centerContinuous" vertical="center"/>
    </xf>
    <xf numFmtId="0" fontId="7" fillId="0" borderId="12" xfId="0" applyFont="1" applyFill="1" applyBorder="1" applyAlignment="1">
      <alignment horizontal="centerContinuous" vertical="center"/>
    </xf>
    <xf numFmtId="0" fontId="7" fillId="0" borderId="15" xfId="0" applyFont="1" applyFill="1" applyBorder="1" applyAlignment="1">
      <alignment horizontal="distributed" vertical="center"/>
    </xf>
    <xf numFmtId="0" fontId="15" fillId="0" borderId="16" xfId="0" applyFont="1" applyFill="1" applyBorder="1" applyAlignment="1">
      <alignment horizontal="center" vertical="center" wrapText="1"/>
    </xf>
    <xf numFmtId="0" fontId="15" fillId="0" borderId="16" xfId="0" applyFont="1" applyFill="1" applyBorder="1" applyAlignment="1">
      <alignment horizontal="distributed" vertical="center" wrapText="1"/>
    </xf>
    <xf numFmtId="0" fontId="7" fillId="0" borderId="11" xfId="0" applyFont="1" applyFill="1" applyBorder="1" applyAlignment="1">
      <alignment horizontal="center" vertical="center"/>
    </xf>
    <xf numFmtId="217" fontId="7" fillId="0" borderId="1" xfId="0" applyNumberFormat="1" applyFont="1" applyFill="1" applyBorder="1" applyAlignment="1">
      <alignment horizontal="right" vertical="center"/>
    </xf>
    <xf numFmtId="217" fontId="7" fillId="0" borderId="1" xfId="17" applyNumberFormat="1" applyFont="1" applyFill="1" applyBorder="1" applyAlignment="1">
      <alignment horizontal="right" vertical="center"/>
    </xf>
    <xf numFmtId="218" fontId="7" fillId="0" borderId="0" xfId="0" applyNumberFormat="1" applyFont="1" applyFill="1" applyBorder="1" applyAlignment="1">
      <alignment horizontal="right" vertical="center"/>
    </xf>
    <xf numFmtId="0" fontId="7" fillId="0" borderId="6" xfId="0" applyFont="1" applyFill="1" applyBorder="1" applyAlignment="1">
      <alignment horizontal="center" vertical="center"/>
    </xf>
    <xf numFmtId="0" fontId="2" fillId="0" borderId="0" xfId="31" applyFont="1" applyFill="1" applyAlignment="1">
      <alignment vertical="center"/>
      <protection/>
    </xf>
    <xf numFmtId="0" fontId="7" fillId="0" borderId="0" xfId="31" applyFont="1" applyFill="1">
      <alignment/>
      <protection/>
    </xf>
    <xf numFmtId="0" fontId="7" fillId="0" borderId="0" xfId="31" applyFont="1" applyFill="1" applyAlignment="1">
      <alignment horizontal="right"/>
      <protection/>
    </xf>
    <xf numFmtId="0" fontId="7" fillId="0" borderId="0" xfId="31" applyFont="1" applyFill="1" applyBorder="1">
      <alignment/>
      <protection/>
    </xf>
    <xf numFmtId="0" fontId="7" fillId="0" borderId="0" xfId="31" applyFont="1" applyFill="1" applyAlignment="1">
      <alignment vertical="center"/>
      <protection/>
    </xf>
    <xf numFmtId="0" fontId="7" fillId="0" borderId="0" xfId="31" applyFont="1" applyFill="1" applyBorder="1" applyAlignment="1">
      <alignment vertical="center"/>
      <protection/>
    </xf>
    <xf numFmtId="0" fontId="7" fillId="0" borderId="16" xfId="31" applyFont="1" applyFill="1" applyBorder="1" applyAlignment="1">
      <alignment horizontal="distributed" vertical="center"/>
      <protection/>
    </xf>
    <xf numFmtId="0" fontId="3" fillId="0" borderId="16" xfId="31" applyFont="1" applyFill="1" applyBorder="1" applyAlignment="1">
      <alignment horizontal="center" vertical="center"/>
      <protection/>
    </xf>
    <xf numFmtId="0" fontId="3" fillId="0" borderId="17" xfId="31" applyFont="1" applyFill="1" applyBorder="1" applyAlignment="1">
      <alignment horizontal="center" vertical="center"/>
      <protection/>
    </xf>
    <xf numFmtId="0" fontId="7" fillId="0" borderId="11" xfId="31" applyFont="1" applyFill="1" applyBorder="1" applyAlignment="1">
      <alignment horizontal="right"/>
      <protection/>
    </xf>
    <xf numFmtId="0" fontId="7" fillId="0" borderId="1" xfId="31" applyFont="1" applyFill="1" applyBorder="1" applyAlignment="1">
      <alignment horizontal="right"/>
      <protection/>
    </xf>
    <xf numFmtId="0" fontId="7" fillId="0" borderId="2" xfId="31" applyFont="1" applyFill="1" applyBorder="1" applyAlignment="1">
      <alignment horizontal="right"/>
      <protection/>
    </xf>
    <xf numFmtId="0" fontId="7" fillId="0" borderId="6" xfId="31" applyFont="1" applyFill="1" applyBorder="1" applyAlignment="1">
      <alignment horizontal="right"/>
      <protection/>
    </xf>
    <xf numFmtId="0" fontId="9" fillId="0" borderId="0" xfId="31" applyFont="1" applyFill="1">
      <alignment/>
      <protection/>
    </xf>
    <xf numFmtId="0" fontId="7" fillId="0" borderId="0" xfId="31" applyFont="1">
      <alignment/>
      <protection/>
    </xf>
    <xf numFmtId="0" fontId="7" fillId="0" borderId="0" xfId="31" applyFont="1" applyAlignment="1">
      <alignment vertical="center"/>
      <protection/>
    </xf>
    <xf numFmtId="0" fontId="7" fillId="0" borderId="10" xfId="31" applyFont="1" applyBorder="1" applyAlignment="1">
      <alignment vertical="center"/>
      <protection/>
    </xf>
    <xf numFmtId="0" fontId="7" fillId="0" borderId="0" xfId="31" applyFont="1" applyAlignment="1">
      <alignment horizontal="right" vertical="center"/>
      <protection/>
    </xf>
    <xf numFmtId="0" fontId="7" fillId="0" borderId="12" xfId="31" applyFont="1" applyBorder="1" applyAlignment="1">
      <alignment horizontal="distributed" vertical="center"/>
      <protection/>
    </xf>
    <xf numFmtId="0" fontId="7" fillId="0" borderId="15" xfId="31" applyFont="1" applyBorder="1" applyAlignment="1">
      <alignment horizontal="distributed" vertical="center"/>
      <protection/>
    </xf>
    <xf numFmtId="0" fontId="7" fillId="0" borderId="16" xfId="31" applyFont="1" applyBorder="1" applyAlignment="1">
      <alignment horizontal="distributed" vertical="center"/>
      <protection/>
    </xf>
    <xf numFmtId="0" fontId="10" fillId="0" borderId="16" xfId="31" applyFont="1" applyBorder="1" applyAlignment="1">
      <alignment horizontal="distributed" vertical="center" wrapText="1"/>
      <protection/>
    </xf>
    <xf numFmtId="0" fontId="7" fillId="0" borderId="17" xfId="31" applyFont="1" applyBorder="1" applyAlignment="1">
      <alignment horizontal="distributed" vertical="center"/>
      <protection/>
    </xf>
    <xf numFmtId="41" fontId="7" fillId="0" borderId="0" xfId="31" applyNumberFormat="1" applyFont="1" applyBorder="1" applyAlignment="1">
      <alignment/>
      <protection/>
    </xf>
    <xf numFmtId="41" fontId="7" fillId="0" borderId="1" xfId="31" applyNumberFormat="1" applyFont="1" applyBorder="1" applyAlignment="1">
      <alignment/>
      <protection/>
    </xf>
    <xf numFmtId="176" fontId="7" fillId="0" borderId="2" xfId="31" applyNumberFormat="1" applyFont="1" applyBorder="1" applyAlignment="1">
      <alignment/>
      <protection/>
    </xf>
    <xf numFmtId="176" fontId="7" fillId="0" borderId="1" xfId="31" applyNumberFormat="1" applyFont="1" applyBorder="1" applyAlignment="1">
      <alignment/>
      <protection/>
    </xf>
    <xf numFmtId="41" fontId="7" fillId="0" borderId="2" xfId="31" applyNumberFormat="1" applyFont="1" applyBorder="1" applyAlignment="1">
      <alignment/>
      <protection/>
    </xf>
    <xf numFmtId="0" fontId="9" fillId="0" borderId="0" xfId="31" applyFont="1" applyAlignment="1">
      <alignment vertical="center"/>
      <protection/>
    </xf>
    <xf numFmtId="0" fontId="7" fillId="0" borderId="0" xfId="31" applyFont="1" applyAlignment="1">
      <alignment horizontal="right"/>
      <protection/>
    </xf>
    <xf numFmtId="0" fontId="7" fillId="0" borderId="18" xfId="31" applyFont="1" applyBorder="1" applyAlignment="1">
      <alignment horizontal="distributed" vertical="center"/>
      <protection/>
    </xf>
    <xf numFmtId="0" fontId="7" fillId="0" borderId="18" xfId="31" applyFont="1" applyFill="1" applyBorder="1" applyAlignment="1">
      <alignment horizontal="distributed" vertical="center"/>
      <protection/>
    </xf>
    <xf numFmtId="0" fontId="7" fillId="0" borderId="19" xfId="31" applyFont="1" applyBorder="1" applyAlignment="1">
      <alignment horizontal="distributed" vertical="center"/>
      <protection/>
    </xf>
    <xf numFmtId="0" fontId="7" fillId="0" borderId="0" xfId="31" applyFont="1" applyBorder="1">
      <alignment/>
      <protection/>
    </xf>
    <xf numFmtId="41" fontId="7" fillId="0" borderId="1" xfId="31" applyNumberFormat="1" applyFont="1" applyFill="1" applyBorder="1" applyAlignment="1">
      <alignment/>
      <protection/>
    </xf>
    <xf numFmtId="0" fontId="9" fillId="0" borderId="0" xfId="31" applyFont="1">
      <alignment/>
      <protection/>
    </xf>
    <xf numFmtId="0" fontId="9" fillId="0" borderId="0" xfId="31" applyFont="1" applyBorder="1">
      <alignment/>
      <protection/>
    </xf>
    <xf numFmtId="0" fontId="7" fillId="0" borderId="20" xfId="31" applyFont="1" applyBorder="1" applyAlignment="1">
      <alignment horizontal="distributed" vertical="center"/>
      <protection/>
    </xf>
    <xf numFmtId="0" fontId="7" fillId="0" borderId="21" xfId="31" applyFont="1" applyBorder="1" applyAlignment="1">
      <alignment horizontal="distributed" vertical="center"/>
      <protection/>
    </xf>
    <xf numFmtId="0" fontId="3" fillId="0" borderId="21" xfId="31" applyFont="1" applyBorder="1" applyAlignment="1">
      <alignment horizontal="distributed" vertical="center"/>
      <protection/>
    </xf>
    <xf numFmtId="41" fontId="7" fillId="0" borderId="22" xfId="31" applyNumberFormat="1" applyFont="1" applyBorder="1" applyAlignment="1">
      <alignment/>
      <protection/>
    </xf>
    <xf numFmtId="41" fontId="7" fillId="0" borderId="23" xfId="31" applyNumberFormat="1" applyFont="1" applyBorder="1" applyAlignment="1">
      <alignment/>
      <protection/>
    </xf>
    <xf numFmtId="41" fontId="7" fillId="0" borderId="6" xfId="31" applyNumberFormat="1" applyFont="1" applyBorder="1" applyAlignment="1">
      <alignment/>
      <protection/>
    </xf>
    <xf numFmtId="176" fontId="7" fillId="0" borderId="0" xfId="31" applyNumberFormat="1" applyFont="1" applyBorder="1" applyAlignment="1">
      <alignment/>
      <protection/>
    </xf>
    <xf numFmtId="38" fontId="7" fillId="0" borderId="0" xfId="17" applyFont="1" applyAlignment="1">
      <alignment vertical="center"/>
    </xf>
    <xf numFmtId="38" fontId="7" fillId="0" borderId="0" xfId="17" applyFont="1" applyFill="1" applyAlignment="1">
      <alignment vertical="center"/>
    </xf>
    <xf numFmtId="0" fontId="7"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Fill="1" applyBorder="1" applyAlignment="1">
      <alignment horizontal="center" vertical="center" wrapText="1"/>
    </xf>
    <xf numFmtId="0" fontId="3" fillId="0" borderId="18" xfId="0" applyFont="1" applyFill="1" applyBorder="1" applyAlignment="1">
      <alignment horizontal="distributed"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Fill="1" applyBorder="1" applyAlignment="1">
      <alignment horizontal="center" vertical="center" wrapText="1"/>
    </xf>
    <xf numFmtId="0" fontId="3" fillId="0" borderId="8" xfId="0" applyFont="1" applyFill="1" applyBorder="1" applyAlignment="1">
      <alignment horizontal="distributed"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distributed" vertical="center"/>
    </xf>
    <xf numFmtId="41" fontId="3" fillId="0" borderId="1" xfId="0" applyNumberFormat="1" applyFont="1" applyFill="1" applyBorder="1" applyAlignment="1">
      <alignment vertical="center" shrinkToFit="1"/>
    </xf>
    <xf numFmtId="41" fontId="3" fillId="0" borderId="2" xfId="0" applyNumberFormat="1" applyFont="1" applyFill="1" applyBorder="1" applyAlignment="1">
      <alignment vertical="center" shrinkToFit="1"/>
    </xf>
    <xf numFmtId="0" fontId="9" fillId="0" borderId="0" xfId="0" applyFont="1" applyFill="1" applyAlignment="1">
      <alignment vertical="center"/>
    </xf>
    <xf numFmtId="0" fontId="5" fillId="0" borderId="6" xfId="0" applyFont="1" applyBorder="1" applyAlignment="1">
      <alignment vertical="center"/>
    </xf>
    <xf numFmtId="0" fontId="9" fillId="0" borderId="0" xfId="0" applyFont="1" applyAlignment="1">
      <alignment vertical="center"/>
    </xf>
    <xf numFmtId="0" fontId="5" fillId="0" borderId="6" xfId="0" applyFont="1" applyBorder="1" applyAlignment="1">
      <alignment horizontal="distributed" vertical="center"/>
    </xf>
    <xf numFmtId="0" fontId="3" fillId="0" borderId="6" xfId="0" applyFont="1" applyBorder="1" applyAlignment="1">
      <alignment vertical="center"/>
    </xf>
    <xf numFmtId="0" fontId="3" fillId="0" borderId="6" xfId="0" applyFont="1" applyBorder="1" applyAlignment="1">
      <alignment horizontal="distributed" vertical="center"/>
    </xf>
    <xf numFmtId="0" fontId="15" fillId="0" borderId="6" xfId="0" applyFont="1" applyBorder="1" applyAlignment="1">
      <alignment horizontal="center" vertical="center"/>
    </xf>
    <xf numFmtId="0" fontId="3" fillId="0" borderId="25" xfId="0" applyFont="1" applyBorder="1" applyAlignment="1">
      <alignment horizontal="distributed" vertical="center"/>
    </xf>
    <xf numFmtId="0" fontId="3" fillId="0" borderId="0" xfId="0" applyFont="1" applyBorder="1" applyAlignment="1">
      <alignment vertical="center"/>
    </xf>
    <xf numFmtId="0" fontId="3" fillId="0" borderId="0" xfId="0" applyFont="1" applyFill="1" applyBorder="1" applyAlignment="1">
      <alignment vertical="center"/>
    </xf>
    <xf numFmtId="41" fontId="7" fillId="0" borderId="0" xfId="0" applyNumberFormat="1" applyFont="1" applyFill="1" applyAlignment="1">
      <alignment vertical="center"/>
    </xf>
    <xf numFmtId="0" fontId="7" fillId="0" borderId="0" xfId="0" applyFont="1" applyBorder="1" applyAlignment="1">
      <alignment vertical="center"/>
    </xf>
    <xf numFmtId="0" fontId="7" fillId="0" borderId="14" xfId="0" applyFont="1" applyBorder="1" applyAlignment="1">
      <alignment horizontal="center" vertical="center"/>
    </xf>
    <xf numFmtId="0" fontId="7" fillId="0" borderId="26"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19" xfId="0" applyFont="1" applyBorder="1" applyAlignment="1">
      <alignment horizontal="centerContinuous" vertical="center"/>
    </xf>
    <xf numFmtId="0" fontId="7" fillId="0" borderId="27" xfId="0" applyFont="1" applyBorder="1" applyAlignment="1">
      <alignment horizontal="centerContinuous" vertical="center"/>
    </xf>
    <xf numFmtId="0" fontId="7" fillId="0" borderId="15" xfId="0" applyFont="1" applyBorder="1" applyAlignment="1">
      <alignment horizontal="centerContinuous"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distributed" vertical="center"/>
    </xf>
    <xf numFmtId="3" fontId="7" fillId="0" borderId="1" xfId="0" applyNumberFormat="1" applyFont="1" applyBorder="1" applyAlignment="1">
      <alignment vertical="center"/>
    </xf>
    <xf numFmtId="3" fontId="7" fillId="0" borderId="2" xfId="0" applyNumberFormat="1" applyFont="1" applyBorder="1" applyAlignment="1">
      <alignment vertical="center"/>
    </xf>
    <xf numFmtId="0" fontId="9" fillId="0" borderId="0" xfId="0" applyFont="1" applyBorder="1" applyAlignment="1">
      <alignment vertical="center"/>
    </xf>
    <xf numFmtId="0" fontId="7" fillId="0" borderId="0" xfId="0" applyFont="1" applyFill="1" applyBorder="1" applyAlignment="1">
      <alignment horizontal="distributed" vertical="center"/>
    </xf>
    <xf numFmtId="0" fontId="7" fillId="0" borderId="10" xfId="0" applyFont="1" applyFill="1" applyBorder="1" applyAlignment="1">
      <alignment horizontal="distributed" vertical="center"/>
    </xf>
    <xf numFmtId="3" fontId="7" fillId="0" borderId="0" xfId="0" applyNumberFormat="1" applyFont="1" applyBorder="1" applyAlignment="1">
      <alignment vertical="center"/>
    </xf>
    <xf numFmtId="0" fontId="7" fillId="0" borderId="0" xfId="0" applyFont="1" applyFill="1" applyBorder="1" applyAlignment="1">
      <alignment vertical="center"/>
    </xf>
    <xf numFmtId="3" fontId="7" fillId="0" borderId="0" xfId="0" applyNumberFormat="1" applyFont="1" applyFill="1" applyAlignment="1">
      <alignment vertical="center" shrinkToFit="1"/>
    </xf>
    <xf numFmtId="3" fontId="7" fillId="0" borderId="0" xfId="0" applyNumberFormat="1" applyFont="1" applyFill="1" applyAlignment="1">
      <alignment horizontal="right" vertical="center"/>
    </xf>
    <xf numFmtId="3" fontId="7" fillId="0" borderId="26" xfId="0" applyNumberFormat="1" applyFont="1" applyFill="1" applyBorder="1" applyAlignment="1">
      <alignment horizontal="centerContinuous" vertical="center" shrinkToFit="1"/>
    </xf>
    <xf numFmtId="3" fontId="7" fillId="0" borderId="24" xfId="0" applyNumberFormat="1" applyFont="1" applyFill="1" applyBorder="1" applyAlignment="1">
      <alignment horizontal="centerContinuous" vertical="center" shrinkToFit="1"/>
    </xf>
    <xf numFmtId="0" fontId="7" fillId="0" borderId="27" xfId="0" applyFont="1" applyFill="1" applyBorder="1" applyAlignment="1">
      <alignment horizontal="centerContinuous" vertical="center"/>
    </xf>
    <xf numFmtId="0" fontId="7" fillId="0" borderId="15" xfId="0" applyFont="1" applyFill="1" applyBorder="1" applyAlignment="1">
      <alignment horizontal="centerContinuous" vertical="center"/>
    </xf>
    <xf numFmtId="3" fontId="7" fillId="0" borderId="15" xfId="0" applyNumberFormat="1" applyFont="1" applyFill="1" applyBorder="1" applyAlignment="1">
      <alignment horizontal="center" vertical="center" shrinkToFit="1"/>
    </xf>
    <xf numFmtId="3" fontId="7" fillId="0" borderId="28" xfId="0" applyNumberFormat="1" applyFont="1" applyFill="1" applyBorder="1" applyAlignment="1">
      <alignment horizontal="center" vertical="center" shrinkToFit="1"/>
    </xf>
    <xf numFmtId="3" fontId="7" fillId="0" borderId="27" xfId="0" applyNumberFormat="1" applyFont="1" applyFill="1" applyBorder="1" applyAlignment="1">
      <alignment horizontal="center" vertical="center" shrinkToFit="1"/>
    </xf>
    <xf numFmtId="0" fontId="7" fillId="0" borderId="0" xfId="0" applyFont="1" applyFill="1" applyBorder="1" applyAlignment="1">
      <alignment horizontal="centerContinuous" vertical="center"/>
    </xf>
    <xf numFmtId="0" fontId="7" fillId="0" borderId="6" xfId="0" applyFont="1" applyFill="1" applyBorder="1" applyAlignment="1">
      <alignment horizontal="centerContinuous" vertical="center"/>
    </xf>
    <xf numFmtId="3" fontId="7" fillId="0" borderId="6" xfId="0" applyNumberFormat="1" applyFont="1" applyFill="1" applyBorder="1" applyAlignment="1">
      <alignment horizontal="center" vertical="center" shrinkToFit="1"/>
    </xf>
    <xf numFmtId="3" fontId="7" fillId="0" borderId="1" xfId="0" applyNumberFormat="1" applyFont="1" applyFill="1" applyBorder="1" applyAlignment="1">
      <alignment horizontal="center" vertical="center" shrinkToFit="1"/>
    </xf>
    <xf numFmtId="3" fontId="7" fillId="0" borderId="0" xfId="0" applyNumberFormat="1" applyFont="1" applyFill="1" applyBorder="1" applyAlignment="1">
      <alignment horizontal="center" vertical="center" shrinkToFit="1"/>
    </xf>
    <xf numFmtId="0" fontId="9" fillId="0" borderId="0" xfId="0" applyFont="1" applyFill="1" applyBorder="1" applyAlignment="1">
      <alignment horizontal="left" vertical="center"/>
    </xf>
    <xf numFmtId="0" fontId="9" fillId="0" borderId="6" xfId="0" applyFont="1" applyFill="1" applyBorder="1" applyAlignment="1">
      <alignment horizontal="right" vertical="center"/>
    </xf>
    <xf numFmtId="0" fontId="7" fillId="0" borderId="6" xfId="0" applyFont="1" applyFill="1" applyBorder="1" applyAlignment="1">
      <alignment vertical="center"/>
    </xf>
    <xf numFmtId="0" fontId="7" fillId="0" borderId="6" xfId="0" applyFont="1" applyFill="1" applyBorder="1" applyAlignment="1">
      <alignment horizontal="distributed" vertical="center"/>
    </xf>
    <xf numFmtId="0" fontId="4" fillId="0" borderId="0" xfId="0" applyFont="1" applyFill="1" applyBorder="1" applyAlignment="1">
      <alignment horizontal="distributed" vertical="center"/>
    </xf>
    <xf numFmtId="0" fontId="7" fillId="0" borderId="10" xfId="0" applyFont="1" applyFill="1" applyBorder="1" applyAlignment="1">
      <alignment vertical="center"/>
    </xf>
    <xf numFmtId="3" fontId="3" fillId="0" borderId="25" xfId="0" applyNumberFormat="1" applyFont="1" applyFill="1" applyBorder="1" applyAlignment="1">
      <alignment vertical="center" shrinkToFit="1"/>
    </xf>
    <xf numFmtId="3" fontId="3" fillId="0" borderId="30" xfId="0" applyNumberFormat="1" applyFont="1" applyFill="1" applyBorder="1" applyAlignment="1">
      <alignment vertical="center" shrinkToFit="1"/>
    </xf>
    <xf numFmtId="3" fontId="3" fillId="0" borderId="10" xfId="0" applyNumberFormat="1" applyFont="1" applyFill="1" applyBorder="1" applyAlignment="1">
      <alignment vertical="center" shrinkToFit="1"/>
    </xf>
    <xf numFmtId="3" fontId="7" fillId="0" borderId="0" xfId="0" applyNumberFormat="1" applyFont="1" applyAlignment="1">
      <alignment vertical="center" shrinkToFit="1"/>
    </xf>
    <xf numFmtId="38" fontId="2" fillId="0" borderId="0" xfId="17" applyFont="1" applyFill="1" applyAlignment="1">
      <alignment vertical="center"/>
    </xf>
    <xf numFmtId="38" fontId="3" fillId="0" borderId="0" xfId="17" applyFont="1" applyAlignment="1">
      <alignment horizontal="right" vertical="center"/>
    </xf>
    <xf numFmtId="38" fontId="3" fillId="0" borderId="31" xfId="17" applyFont="1" applyBorder="1" applyAlignment="1">
      <alignment horizontal="centerContinuous" vertical="center"/>
    </xf>
    <xf numFmtId="38" fontId="3" fillId="0" borderId="14" xfId="17" applyFont="1" applyBorder="1" applyAlignment="1">
      <alignment horizontal="centerContinuous" vertical="center"/>
    </xf>
    <xf numFmtId="38" fontId="3" fillId="0" borderId="32" xfId="17" applyFont="1" applyBorder="1" applyAlignment="1">
      <alignment horizontal="centerContinuous" vertical="center"/>
    </xf>
    <xf numFmtId="38" fontId="3" fillId="0" borderId="33" xfId="17" applyFont="1" applyBorder="1" applyAlignment="1">
      <alignment horizontal="centerContinuous" vertical="center"/>
    </xf>
    <xf numFmtId="38" fontId="3" fillId="0" borderId="24" xfId="17" applyFont="1" applyBorder="1" applyAlignment="1">
      <alignment horizontal="centerContinuous" vertical="center"/>
    </xf>
    <xf numFmtId="38" fontId="3" fillId="0" borderId="16" xfId="17" applyFont="1" applyBorder="1" applyAlignment="1">
      <alignment horizontal="distributed" vertical="center"/>
    </xf>
    <xf numFmtId="38" fontId="3" fillId="0" borderId="17" xfId="17" applyFont="1" applyBorder="1" applyAlignment="1">
      <alignment horizontal="distributed" vertical="center"/>
    </xf>
    <xf numFmtId="38" fontId="3" fillId="0" borderId="6" xfId="17" applyFont="1" applyBorder="1" applyAlignment="1">
      <alignment horizontal="distributed" vertical="center"/>
    </xf>
    <xf numFmtId="38" fontId="5" fillId="0" borderId="1" xfId="17" applyFont="1" applyBorder="1" applyAlignment="1">
      <alignment vertical="center"/>
    </xf>
    <xf numFmtId="38" fontId="5" fillId="0" borderId="2" xfId="17" applyFont="1" applyBorder="1" applyAlignment="1">
      <alignment vertical="center"/>
    </xf>
    <xf numFmtId="38" fontId="3" fillId="0" borderId="6" xfId="17" applyFont="1" applyBorder="1" applyAlignment="1">
      <alignment vertical="center"/>
    </xf>
    <xf numFmtId="38" fontId="3" fillId="0" borderId="34" xfId="17" applyFont="1" applyBorder="1" applyAlignment="1">
      <alignment horizontal="distributed" vertical="center"/>
    </xf>
    <xf numFmtId="38" fontId="3" fillId="0" borderId="0" xfId="17" applyFont="1" applyBorder="1" applyAlignment="1">
      <alignment vertical="center"/>
    </xf>
    <xf numFmtId="38" fontId="3" fillId="0" borderId="0" xfId="17" applyFont="1" applyFill="1" applyBorder="1" applyAlignment="1">
      <alignment vertical="center"/>
    </xf>
    <xf numFmtId="38" fontId="3" fillId="0" borderId="0" xfId="17" applyFont="1" applyBorder="1" applyAlignment="1">
      <alignment horizontal="distributed" vertical="center"/>
    </xf>
    <xf numFmtId="3" fontId="7" fillId="0" borderId="0" xfId="0" applyNumberFormat="1" applyFont="1" applyBorder="1" applyAlignment="1">
      <alignment vertical="center" shrinkToFit="1"/>
    </xf>
    <xf numFmtId="3" fontId="7" fillId="0" borderId="0" xfId="0" applyNumberFormat="1" applyFont="1" applyBorder="1" applyAlignment="1">
      <alignment horizontal="center" vertical="center" shrinkToFit="1"/>
    </xf>
    <xf numFmtId="3" fontId="5" fillId="0" borderId="0" xfId="0" applyNumberFormat="1" applyFont="1" applyBorder="1" applyAlignment="1">
      <alignment vertical="center" shrinkToFit="1"/>
    </xf>
    <xf numFmtId="3" fontId="3" fillId="0" borderId="0" xfId="0" applyNumberFormat="1" applyFont="1" applyBorder="1" applyAlignment="1">
      <alignment vertical="center" shrinkToFit="1"/>
    </xf>
    <xf numFmtId="0" fontId="7" fillId="0" borderId="3" xfId="0" applyFont="1" applyFill="1" applyBorder="1" applyAlignment="1">
      <alignment vertical="center"/>
    </xf>
    <xf numFmtId="3" fontId="3" fillId="0" borderId="34" xfId="0" applyNumberFormat="1" applyFont="1" applyFill="1" applyBorder="1" applyAlignment="1">
      <alignment vertical="center" shrinkToFit="1"/>
    </xf>
    <xf numFmtId="3" fontId="3" fillId="0" borderId="4" xfId="0" applyNumberFormat="1" applyFont="1" applyFill="1" applyBorder="1" applyAlignment="1">
      <alignment vertical="center" shrinkToFit="1"/>
    </xf>
    <xf numFmtId="3" fontId="3" fillId="0" borderId="5" xfId="0" applyNumberFormat="1" applyFont="1" applyFill="1" applyBorder="1" applyAlignment="1">
      <alignment vertical="center" shrinkToFit="1"/>
    </xf>
    <xf numFmtId="38" fontId="7" fillId="0" borderId="0" xfId="17" applyFont="1" applyAlignment="1">
      <alignment horizontal="right" vertical="center"/>
    </xf>
    <xf numFmtId="38" fontId="7" fillId="0" borderId="24" xfId="17" applyFont="1" applyBorder="1" applyAlignment="1">
      <alignment horizontal="distributed" vertical="center" wrapText="1"/>
    </xf>
    <xf numFmtId="38" fontId="7" fillId="0" borderId="18" xfId="17" applyFont="1" applyBorder="1" applyAlignment="1">
      <alignment horizontal="distributed" vertical="center"/>
    </xf>
    <xf numFmtId="38" fontId="7" fillId="0" borderId="19" xfId="17" applyFont="1" applyBorder="1" applyAlignment="1">
      <alignment horizontal="distributed" vertical="center"/>
    </xf>
    <xf numFmtId="38" fontId="7" fillId="0" borderId="6" xfId="17" applyFont="1" applyBorder="1" applyAlignment="1">
      <alignment horizontal="distributed" vertical="center"/>
    </xf>
    <xf numFmtId="38" fontId="7" fillId="0" borderId="1" xfId="17" applyFont="1" applyBorder="1" applyAlignment="1">
      <alignment vertical="center"/>
    </xf>
    <xf numFmtId="38" fontId="7" fillId="0" borderId="2" xfId="17" applyFont="1" applyBorder="1" applyAlignment="1">
      <alignment vertical="center"/>
    </xf>
    <xf numFmtId="38" fontId="7" fillId="0" borderId="6" xfId="17" applyFont="1" applyFill="1" applyBorder="1" applyAlignment="1">
      <alignment vertical="center"/>
    </xf>
    <xf numFmtId="38" fontId="7" fillId="0" borderId="6" xfId="17" applyFont="1" applyFill="1" applyBorder="1" applyAlignment="1">
      <alignment horizontal="distributed" vertical="center"/>
    </xf>
    <xf numFmtId="38" fontId="7" fillId="0" borderId="34" xfId="17" applyFont="1" applyFill="1" applyBorder="1" applyAlignment="1">
      <alignment horizontal="distributed" vertical="center"/>
    </xf>
    <xf numFmtId="38" fontId="7" fillId="0" borderId="0" xfId="17" applyFont="1" applyFill="1" applyBorder="1" applyAlignment="1">
      <alignment vertical="center"/>
    </xf>
    <xf numFmtId="38" fontId="7" fillId="0" borderId="0" xfId="17" applyFont="1" applyBorder="1" applyAlignment="1">
      <alignment horizontal="distributed" vertical="center"/>
    </xf>
    <xf numFmtId="38" fontId="7" fillId="0" borderId="0" xfId="17" applyFont="1" applyBorder="1" applyAlignment="1">
      <alignment vertical="center"/>
    </xf>
    <xf numFmtId="0" fontId="6" fillId="0" borderId="0" xfId="0" applyFont="1" applyFill="1" applyAlignment="1">
      <alignment vertical="center"/>
    </xf>
    <xf numFmtId="0" fontId="6" fillId="0" borderId="0" xfId="27" applyNumberFormat="1" applyFont="1" applyFill="1" applyAlignment="1">
      <alignment vertical="center"/>
      <protection/>
    </xf>
    <xf numFmtId="0" fontId="6" fillId="0" borderId="0" xfId="28" applyFont="1" applyFill="1">
      <alignment vertical="center"/>
      <protection/>
    </xf>
    <xf numFmtId="49" fontId="6" fillId="0" borderId="0" xfId="21" applyNumberFormat="1" applyFont="1" applyFill="1" applyBorder="1" applyAlignment="1">
      <alignment vertical="center"/>
      <protection/>
    </xf>
    <xf numFmtId="38" fontId="6" fillId="0" borderId="0" xfId="17" applyFont="1" applyFill="1" applyBorder="1" applyAlignment="1">
      <alignment/>
    </xf>
    <xf numFmtId="0" fontId="6" fillId="0" borderId="0" xfId="30" applyFont="1" applyFill="1">
      <alignment vertical="center"/>
      <protection/>
    </xf>
    <xf numFmtId="0" fontId="6" fillId="0" borderId="0" xfId="29" applyFont="1" applyFill="1" applyAlignment="1">
      <alignment vertical="center"/>
      <protection/>
    </xf>
    <xf numFmtId="0" fontId="6" fillId="0" borderId="0" xfId="0" applyFont="1" applyFill="1" applyAlignment="1">
      <alignment vertical="center"/>
    </xf>
    <xf numFmtId="0" fontId="6" fillId="0" borderId="0" xfId="32" applyFont="1" applyFill="1" applyAlignment="1">
      <alignment vertical="center"/>
      <protection/>
    </xf>
    <xf numFmtId="0" fontId="6" fillId="0" borderId="0" xfId="33" applyFont="1" applyFill="1" applyAlignment="1">
      <alignment vertical="center"/>
      <protection/>
    </xf>
    <xf numFmtId="0" fontId="6" fillId="0" borderId="0" xfId="34" applyFont="1" applyFill="1" applyAlignment="1">
      <alignment vertical="center"/>
      <protection/>
    </xf>
    <xf numFmtId="38" fontId="6" fillId="0" borderId="0" xfId="17" applyFont="1" applyFill="1" applyAlignment="1">
      <alignment vertical="center"/>
    </xf>
    <xf numFmtId="0" fontId="6" fillId="0" borderId="0" xfId="26" applyFont="1" applyFill="1" applyAlignment="1">
      <alignment vertical="center"/>
      <protection/>
    </xf>
    <xf numFmtId="0" fontId="21" fillId="0" borderId="0" xfId="0" applyFont="1" applyAlignment="1">
      <alignment vertical="center"/>
    </xf>
    <xf numFmtId="0" fontId="22" fillId="0" borderId="0" xfId="0" applyFont="1" applyAlignment="1">
      <alignment vertical="center"/>
    </xf>
    <xf numFmtId="0" fontId="21" fillId="0" borderId="0" xfId="0" applyFont="1" applyAlignment="1">
      <alignment/>
    </xf>
    <xf numFmtId="0" fontId="3" fillId="0" borderId="0" xfId="22" applyFont="1" applyBorder="1" applyAlignment="1">
      <alignment/>
      <protection/>
    </xf>
    <xf numFmtId="0" fontId="0" fillId="0" borderId="0" xfId="0" applyFont="1" applyAlignment="1">
      <alignment vertical="center"/>
    </xf>
    <xf numFmtId="0" fontId="7" fillId="0" borderId="35" xfId="23" applyFont="1" applyFill="1" applyBorder="1" applyAlignment="1">
      <alignment horizontal="left"/>
      <protection/>
    </xf>
    <xf numFmtId="0" fontId="9" fillId="0" borderId="0" xfId="24" applyFont="1" applyBorder="1" applyAlignment="1">
      <alignment horizontal="distributed" vertical="center"/>
      <protection/>
    </xf>
    <xf numFmtId="0" fontId="7" fillId="0" borderId="0" xfId="24" applyFont="1" applyBorder="1" applyAlignment="1">
      <alignment vertical="center"/>
      <protection/>
    </xf>
    <xf numFmtId="0" fontId="0" fillId="0" borderId="0" xfId="0" applyFont="1" applyAlignment="1">
      <alignment vertical="center"/>
    </xf>
    <xf numFmtId="0" fontId="9" fillId="0" borderId="6" xfId="35" applyFont="1" applyBorder="1" applyAlignment="1" applyProtection="1">
      <alignment horizontal="distributed"/>
      <protection locked="0"/>
    </xf>
    <xf numFmtId="183" fontId="9" fillId="0" borderId="2" xfId="35" applyNumberFormat="1" applyFont="1" applyBorder="1" applyProtection="1">
      <alignment/>
      <protection locked="0"/>
    </xf>
    <xf numFmtId="183" fontId="9" fillId="0" borderId="1" xfId="35" applyNumberFormat="1" applyFont="1" applyBorder="1" applyProtection="1">
      <alignment/>
      <protection locked="0"/>
    </xf>
    <xf numFmtId="183" fontId="9" fillId="0" borderId="29" xfId="35" applyNumberFormat="1" applyFont="1" applyBorder="1" applyProtection="1">
      <alignment/>
      <protection locked="0"/>
    </xf>
    <xf numFmtId="183" fontId="9" fillId="0" borderId="4" xfId="35" applyNumberFormat="1" applyFont="1" applyBorder="1" applyProtection="1">
      <alignment/>
      <protection locked="0"/>
    </xf>
    <xf numFmtId="183" fontId="7" fillId="0" borderId="4" xfId="36" applyNumberFormat="1" applyFont="1" applyBorder="1" applyAlignment="1" applyProtection="1" quotePrefix="1">
      <alignment horizontal="right"/>
      <protection locked="0"/>
    </xf>
    <xf numFmtId="183" fontId="9" fillId="0" borderId="3" xfId="35" applyNumberFormat="1" applyFont="1" applyBorder="1" applyProtection="1">
      <alignment/>
      <protection locked="0"/>
    </xf>
    <xf numFmtId="0" fontId="0" fillId="0" borderId="35" xfId="0" applyFont="1" applyBorder="1" applyAlignment="1">
      <alignment vertical="center"/>
    </xf>
    <xf numFmtId="0" fontId="0" fillId="0" borderId="0" xfId="0" applyFont="1" applyBorder="1" applyAlignment="1">
      <alignment vertical="center"/>
    </xf>
    <xf numFmtId="0" fontId="9" fillId="0" borderId="34" xfId="35" applyFont="1" applyBorder="1" applyAlignment="1" applyProtection="1">
      <alignment horizontal="distributed"/>
      <protection locked="0"/>
    </xf>
    <xf numFmtId="41" fontId="9" fillId="0" borderId="4" xfId="35" applyNumberFormat="1" applyFont="1" applyBorder="1" applyAlignment="1" applyProtection="1">
      <alignment horizontal="right"/>
      <protection locked="0"/>
    </xf>
    <xf numFmtId="183" fontId="9" fillId="0" borderId="5" xfId="35" applyNumberFormat="1" applyFont="1" applyBorder="1" applyProtection="1">
      <alignment/>
      <protection locked="0"/>
    </xf>
    <xf numFmtId="0" fontId="3" fillId="0" borderId="0" xfId="0" applyFont="1" applyAlignment="1">
      <alignment vertical="center"/>
    </xf>
    <xf numFmtId="0" fontId="9" fillId="0" borderId="34" xfId="0" applyFont="1" applyFill="1" applyBorder="1" applyAlignment="1">
      <alignment horizontal="center" vertical="center"/>
    </xf>
    <xf numFmtId="217" fontId="9" fillId="0" borderId="4" xfId="0" applyNumberFormat="1" applyFont="1" applyFill="1" applyBorder="1" applyAlignment="1">
      <alignment horizontal="right" vertical="center"/>
    </xf>
    <xf numFmtId="217" fontId="9" fillId="0" borderId="4" xfId="17" applyNumberFormat="1" applyFont="1" applyFill="1" applyBorder="1" applyAlignment="1">
      <alignment horizontal="right" vertical="center"/>
    </xf>
    <xf numFmtId="218" fontId="9" fillId="0" borderId="3" xfId="0" applyNumberFormat="1" applyFont="1" applyFill="1" applyBorder="1" applyAlignment="1">
      <alignment horizontal="right" vertical="center"/>
    </xf>
    <xf numFmtId="0" fontId="9" fillId="0" borderId="34" xfId="31" applyFont="1" applyFill="1" applyBorder="1" applyAlignment="1">
      <alignment horizontal="right"/>
      <protection/>
    </xf>
    <xf numFmtId="0" fontId="9" fillId="0" borderId="4" xfId="31" applyFont="1" applyFill="1" applyBorder="1" applyAlignment="1">
      <alignment horizontal="right"/>
      <protection/>
    </xf>
    <xf numFmtId="0" fontId="9" fillId="0" borderId="5" xfId="31" applyFont="1" applyFill="1" applyBorder="1" applyAlignment="1">
      <alignment horizontal="right"/>
      <protection/>
    </xf>
    <xf numFmtId="0" fontId="3" fillId="0" borderId="0" xfId="31" applyFont="1" applyFill="1">
      <alignment/>
      <protection/>
    </xf>
    <xf numFmtId="41" fontId="9" fillId="0" borderId="3" xfId="31" applyNumberFormat="1" applyFont="1" applyFill="1" applyBorder="1" applyAlignment="1">
      <alignment/>
      <protection/>
    </xf>
    <xf numFmtId="41" fontId="9" fillId="0" borderId="4" xfId="31" applyNumberFormat="1" applyFont="1" applyFill="1" applyBorder="1" applyAlignment="1">
      <alignment/>
      <protection/>
    </xf>
    <xf numFmtId="41" fontId="9" fillId="0" borderId="5" xfId="31" applyNumberFormat="1" applyFont="1" applyFill="1" applyBorder="1" applyAlignment="1">
      <alignment horizontal="right"/>
      <protection/>
    </xf>
    <xf numFmtId="41" fontId="9" fillId="0" borderId="5" xfId="31" applyNumberFormat="1" applyFont="1" applyFill="1" applyBorder="1" applyAlignment="1">
      <alignment/>
      <protection/>
    </xf>
    <xf numFmtId="41" fontId="9" fillId="0" borderId="36" xfId="31" applyNumberFormat="1" applyFont="1" applyFill="1" applyBorder="1" applyAlignment="1">
      <alignment/>
      <protection/>
    </xf>
    <xf numFmtId="41" fontId="9" fillId="0" borderId="37" xfId="31" applyNumberFormat="1" applyFont="1" applyBorder="1" applyAlignment="1">
      <alignment/>
      <protection/>
    </xf>
    <xf numFmtId="41" fontId="9" fillId="0" borderId="34" xfId="31" applyNumberFormat="1" applyFont="1" applyBorder="1" applyAlignment="1">
      <alignment/>
      <protection/>
    </xf>
    <xf numFmtId="41" fontId="9" fillId="0" borderId="3" xfId="31" applyNumberFormat="1" applyFont="1" applyBorder="1" applyAlignment="1">
      <alignment/>
      <protection/>
    </xf>
    <xf numFmtId="41" fontId="9" fillId="0" borderId="4" xfId="31" applyNumberFormat="1" applyFont="1" applyBorder="1" applyAlignment="1">
      <alignment/>
      <protection/>
    </xf>
    <xf numFmtId="176" fontId="9" fillId="0" borderId="3" xfId="31" applyNumberFormat="1" applyFont="1" applyBorder="1" applyAlignment="1">
      <alignment/>
      <protection/>
    </xf>
    <xf numFmtId="176" fontId="9" fillId="0" borderId="5" xfId="31" applyNumberFormat="1" applyFont="1" applyBorder="1" applyAlignment="1">
      <alignment/>
      <protection/>
    </xf>
    <xf numFmtId="0" fontId="5" fillId="0" borderId="6" xfId="0" applyFont="1" applyFill="1" applyBorder="1" applyAlignment="1">
      <alignment horizontal="distributed" vertical="center"/>
    </xf>
    <xf numFmtId="41" fontId="5" fillId="0" borderId="1" xfId="0" applyNumberFormat="1" applyFont="1" applyFill="1" applyBorder="1" applyAlignment="1">
      <alignment vertical="center" shrinkToFit="1"/>
    </xf>
    <xf numFmtId="41" fontId="5" fillId="0" borderId="2" xfId="0" applyNumberFormat="1" applyFont="1" applyFill="1" applyBorder="1" applyAlignment="1">
      <alignment vertical="center" shrinkToFit="1"/>
    </xf>
    <xf numFmtId="41" fontId="5" fillId="0" borderId="1" xfId="0" applyNumberFormat="1" applyFont="1" applyBorder="1" applyAlignment="1">
      <alignment vertical="center" shrinkToFit="1"/>
    </xf>
    <xf numFmtId="41" fontId="5" fillId="0" borderId="1" xfId="0" applyNumberFormat="1" applyFont="1" applyBorder="1" applyAlignment="1">
      <alignment horizontal="right" vertical="center" shrinkToFit="1"/>
    </xf>
    <xf numFmtId="41" fontId="5" fillId="0" borderId="1" xfId="0" applyNumberFormat="1" applyFont="1" applyFill="1" applyBorder="1" applyAlignment="1">
      <alignment horizontal="right" vertical="center" shrinkToFit="1"/>
    </xf>
    <xf numFmtId="41" fontId="5" fillId="0" borderId="2" xfId="0" applyNumberFormat="1" applyFont="1" applyFill="1" applyBorder="1" applyAlignment="1">
      <alignment horizontal="right" vertical="center" shrinkToFit="1"/>
    </xf>
    <xf numFmtId="41" fontId="3" fillId="0" borderId="1" xfId="0" applyNumberFormat="1" applyFont="1" applyBorder="1" applyAlignment="1">
      <alignment vertical="center" shrinkToFit="1"/>
    </xf>
    <xf numFmtId="41" fontId="3" fillId="0" borderId="1" xfId="17" applyNumberFormat="1" applyFont="1" applyBorder="1" applyAlignment="1">
      <alignment horizontal="right" vertical="center" shrinkToFit="1"/>
    </xf>
    <xf numFmtId="41" fontId="3" fillId="0" borderId="1" xfId="17" applyNumberFormat="1" applyFont="1" applyFill="1" applyBorder="1" applyAlignment="1">
      <alignment horizontal="right" vertical="center" shrinkToFit="1"/>
    </xf>
    <xf numFmtId="41" fontId="3" fillId="0" borderId="2" xfId="17" applyNumberFormat="1" applyFont="1" applyFill="1" applyBorder="1" applyAlignment="1">
      <alignment horizontal="right" vertical="center" shrinkToFit="1"/>
    </xf>
    <xf numFmtId="41" fontId="3" fillId="0" borderId="30" xfId="17" applyNumberFormat="1" applyFont="1" applyBorder="1" applyAlignment="1">
      <alignment horizontal="right" vertical="center" shrinkToFit="1"/>
    </xf>
    <xf numFmtId="41" fontId="3" fillId="0" borderId="30" xfId="17" applyNumberFormat="1" applyFont="1" applyFill="1" applyBorder="1" applyAlignment="1">
      <alignment horizontal="right" vertical="center" shrinkToFit="1"/>
    </xf>
    <xf numFmtId="41" fontId="3" fillId="0" borderId="38" xfId="17" applyNumberFormat="1" applyFont="1" applyFill="1" applyBorder="1" applyAlignment="1">
      <alignment horizontal="right" vertical="center" shrinkToFit="1"/>
    </xf>
    <xf numFmtId="0" fontId="9" fillId="0" borderId="0" xfId="0" applyFont="1" applyBorder="1" applyAlignment="1">
      <alignment horizontal="distributed" vertical="center"/>
    </xf>
    <xf numFmtId="3" fontId="9" fillId="0" borderId="1" xfId="0" applyNumberFormat="1" applyFont="1" applyFill="1" applyBorder="1" applyAlignment="1">
      <alignment vertical="center"/>
    </xf>
    <xf numFmtId="3" fontId="9" fillId="0" borderId="2" xfId="0" applyNumberFormat="1" applyFont="1" applyFill="1" applyBorder="1" applyAlignment="1">
      <alignment vertical="center"/>
    </xf>
    <xf numFmtId="3" fontId="7" fillId="0" borderId="1" xfId="0" applyNumberFormat="1" applyFont="1" applyFill="1" applyBorder="1" applyAlignment="1">
      <alignment vertical="center"/>
    </xf>
    <xf numFmtId="3" fontId="7" fillId="0" borderId="2" xfId="0" applyNumberFormat="1" applyFont="1" applyFill="1" applyBorder="1" applyAlignment="1">
      <alignment vertical="center"/>
    </xf>
    <xf numFmtId="3" fontId="7" fillId="0" borderId="30" xfId="0" applyNumberFormat="1" applyFont="1" applyFill="1" applyBorder="1" applyAlignment="1">
      <alignment vertical="center"/>
    </xf>
    <xf numFmtId="3" fontId="7" fillId="0" borderId="38" xfId="0" applyNumberFormat="1" applyFont="1" applyFill="1" applyBorder="1" applyAlignment="1">
      <alignment vertical="center"/>
    </xf>
    <xf numFmtId="3" fontId="5" fillId="0" borderId="6" xfId="0" applyNumberFormat="1" applyFont="1" applyFill="1" applyBorder="1" applyAlignment="1">
      <alignment vertical="center" shrinkToFit="1"/>
    </xf>
    <xf numFmtId="3" fontId="5" fillId="0" borderId="1" xfId="0" applyNumberFormat="1" applyFont="1" applyFill="1" applyBorder="1" applyAlignment="1">
      <alignment vertical="center" shrinkToFit="1"/>
    </xf>
    <xf numFmtId="3" fontId="5" fillId="0" borderId="2" xfId="0" applyNumberFormat="1" applyFont="1" applyFill="1" applyBorder="1" applyAlignment="1">
      <alignment vertical="center" shrinkToFit="1"/>
    </xf>
    <xf numFmtId="3" fontId="3" fillId="0" borderId="6" xfId="0" applyNumberFormat="1" applyFont="1" applyFill="1" applyBorder="1" applyAlignment="1">
      <alignment vertical="center" shrinkToFit="1"/>
    </xf>
    <xf numFmtId="3" fontId="3" fillId="0" borderId="1" xfId="0" applyNumberFormat="1" applyFont="1" applyFill="1" applyBorder="1" applyAlignment="1">
      <alignment vertical="center" shrinkToFit="1"/>
    </xf>
    <xf numFmtId="3" fontId="3" fillId="0" borderId="0" xfId="0" applyNumberFormat="1" applyFont="1" applyFill="1" applyBorder="1" applyAlignment="1">
      <alignment vertical="center" shrinkToFit="1"/>
    </xf>
    <xf numFmtId="3" fontId="3" fillId="0" borderId="2" xfId="0" applyNumberFormat="1" applyFont="1" applyFill="1" applyBorder="1" applyAlignment="1">
      <alignment vertical="center" shrinkToFit="1"/>
    </xf>
    <xf numFmtId="3" fontId="3" fillId="0" borderId="6"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3" fontId="3" fillId="0" borderId="0" xfId="0" applyNumberFormat="1" applyFont="1" applyFill="1" applyBorder="1" applyAlignment="1">
      <alignment horizontal="right" vertical="center" shrinkToFit="1"/>
    </xf>
    <xf numFmtId="0" fontId="0" fillId="0" borderId="25" xfId="0" applyFont="1" applyFill="1" applyBorder="1" applyAlignment="1">
      <alignment vertical="center" wrapText="1"/>
    </xf>
    <xf numFmtId="38" fontId="5" fillId="0" borderId="1" xfId="17" applyFont="1" applyFill="1" applyBorder="1" applyAlignment="1">
      <alignment vertical="center"/>
    </xf>
    <xf numFmtId="38" fontId="5" fillId="0" borderId="2" xfId="17" applyFont="1" applyFill="1" applyBorder="1" applyAlignment="1">
      <alignment vertical="center"/>
    </xf>
    <xf numFmtId="38" fontId="3" fillId="0" borderId="1" xfId="17" applyFont="1" applyFill="1" applyBorder="1" applyAlignment="1">
      <alignment vertical="center"/>
    </xf>
    <xf numFmtId="38" fontId="3" fillId="0" borderId="2" xfId="17" applyFont="1" applyFill="1" applyBorder="1" applyAlignment="1">
      <alignment vertical="center"/>
    </xf>
    <xf numFmtId="38" fontId="3" fillId="0" borderId="4" xfId="17" applyFont="1" applyFill="1" applyBorder="1" applyAlignment="1">
      <alignment vertical="center"/>
    </xf>
    <xf numFmtId="38" fontId="3" fillId="0" borderId="5" xfId="17" applyFont="1" applyFill="1" applyBorder="1" applyAlignment="1">
      <alignment vertical="center"/>
    </xf>
    <xf numFmtId="0" fontId="0" fillId="0" borderId="34" xfId="0" applyFont="1" applyFill="1" applyBorder="1" applyAlignment="1">
      <alignment vertical="center" wrapText="1"/>
    </xf>
    <xf numFmtId="38" fontId="9" fillId="0" borderId="6" xfId="17" applyFont="1" applyFill="1" applyBorder="1" applyAlignment="1">
      <alignment horizontal="distributed" vertical="center"/>
    </xf>
    <xf numFmtId="38" fontId="9" fillId="0" borderId="1" xfId="17" applyFont="1" applyFill="1" applyBorder="1" applyAlignment="1">
      <alignment vertical="center"/>
    </xf>
    <xf numFmtId="38" fontId="9" fillId="0" borderId="2" xfId="17" applyFont="1" applyFill="1" applyBorder="1" applyAlignment="1">
      <alignment vertical="center"/>
    </xf>
    <xf numFmtId="38" fontId="7" fillId="0" borderId="1" xfId="17" applyFont="1" applyFill="1" applyBorder="1" applyAlignment="1">
      <alignment vertical="center"/>
    </xf>
    <xf numFmtId="38" fontId="7" fillId="0" borderId="2" xfId="17" applyFont="1" applyFill="1" applyBorder="1" applyAlignment="1">
      <alignment vertical="center"/>
    </xf>
    <xf numFmtId="38" fontId="7" fillId="0" borderId="4" xfId="17" applyFont="1" applyFill="1" applyBorder="1" applyAlignment="1">
      <alignment vertical="center"/>
    </xf>
    <xf numFmtId="38" fontId="7" fillId="0" borderId="5" xfId="17" applyFont="1" applyFill="1" applyBorder="1" applyAlignment="1">
      <alignment vertical="center"/>
    </xf>
    <xf numFmtId="0" fontId="9" fillId="0" borderId="0" xfId="35" applyFont="1" applyProtection="1">
      <alignment/>
      <protection locked="0"/>
    </xf>
    <xf numFmtId="0" fontId="9" fillId="0" borderId="0" xfId="35" applyFont="1" applyBorder="1" applyAlignment="1">
      <alignment/>
      <protection/>
    </xf>
    <xf numFmtId="38" fontId="7" fillId="0" borderId="14" xfId="17" applyFont="1" applyBorder="1" applyAlignment="1">
      <alignment horizontal="distributed" vertical="center" indent="1"/>
    </xf>
    <xf numFmtId="49" fontId="7" fillId="0" borderId="14" xfId="24" applyNumberFormat="1" applyFont="1" applyBorder="1" applyAlignment="1">
      <alignment horizontal="center" vertical="center"/>
      <protection/>
    </xf>
    <xf numFmtId="49" fontId="7" fillId="0" borderId="0" xfId="24" applyNumberFormat="1" applyFont="1" applyBorder="1" applyAlignment="1">
      <alignment horizontal="center" vertical="center"/>
      <protection/>
    </xf>
    <xf numFmtId="49" fontId="7" fillId="0" borderId="27" xfId="24" applyNumberFormat="1" applyFont="1" applyBorder="1" applyAlignment="1">
      <alignment horizontal="center" vertical="center"/>
      <protection/>
    </xf>
    <xf numFmtId="0" fontId="8" fillId="0" borderId="12" xfId="0" applyNumberFormat="1" applyFont="1" applyFill="1" applyBorder="1" applyAlignment="1">
      <alignment horizontal="center" vertical="center"/>
    </xf>
    <xf numFmtId="0" fontId="8" fillId="0" borderId="29"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20" fillId="0" borderId="0" xfId="0" applyFont="1" applyAlignment="1">
      <alignment horizontal="center" vertical="center"/>
    </xf>
    <xf numFmtId="0" fontId="3" fillId="0" borderId="39"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49" fontId="3" fillId="0" borderId="14" xfId="22" applyNumberFormat="1" applyFont="1" applyBorder="1" applyAlignment="1">
      <alignment horizontal="center" vertical="center"/>
      <protection/>
    </xf>
    <xf numFmtId="49" fontId="3" fillId="0" borderId="0" xfId="22" applyNumberFormat="1" applyFont="1" applyBorder="1" applyAlignment="1">
      <alignment horizontal="center" vertical="center"/>
      <protection/>
    </xf>
    <xf numFmtId="49" fontId="3" fillId="0" borderId="27" xfId="22" applyNumberFormat="1" applyFont="1" applyBorder="1" applyAlignment="1">
      <alignment horizontal="center" vertical="center"/>
      <protection/>
    </xf>
    <xf numFmtId="0" fontId="3" fillId="0" borderId="39"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49" fontId="7" fillId="0" borderId="14" xfId="23" applyNumberFormat="1" applyFont="1" applyBorder="1" applyAlignment="1">
      <alignment horizontal="center" vertical="center"/>
      <protection/>
    </xf>
    <xf numFmtId="49" fontId="7" fillId="0" borderId="0" xfId="23" applyNumberFormat="1" applyFont="1" applyBorder="1" applyAlignment="1">
      <alignment horizontal="center" vertical="center"/>
      <protection/>
    </xf>
    <xf numFmtId="49" fontId="7" fillId="0" borderId="27" xfId="23" applyNumberFormat="1" applyFont="1" applyBorder="1" applyAlignment="1">
      <alignment horizontal="center" vertical="center"/>
      <protection/>
    </xf>
    <xf numFmtId="0" fontId="7" fillId="0" borderId="39"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8"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28"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27" xfId="0" applyNumberFormat="1" applyFont="1" applyFill="1" applyBorder="1" applyAlignment="1">
      <alignment horizontal="center" vertical="center"/>
    </xf>
    <xf numFmtId="38" fontId="7" fillId="0" borderId="0" xfId="17" applyFont="1" applyBorder="1" applyAlignment="1">
      <alignment horizontal="distributed" vertical="center" indent="1"/>
    </xf>
    <xf numFmtId="38" fontId="7" fillId="0" borderId="27" xfId="17" applyFont="1" applyBorder="1" applyAlignment="1">
      <alignment horizontal="distributed" vertical="center" indent="1"/>
    </xf>
    <xf numFmtId="38" fontId="3" fillId="0" borderId="39" xfId="17" applyFont="1" applyFill="1" applyBorder="1" applyAlignment="1">
      <alignment horizontal="distributed" vertical="center" wrapText="1"/>
    </xf>
    <xf numFmtId="38" fontId="4" fillId="0" borderId="1" xfId="17" applyFont="1" applyBorder="1" applyAlignment="1">
      <alignment horizontal="distributed" vertical="center" wrapText="1"/>
    </xf>
    <xf numFmtId="38" fontId="7" fillId="0" borderId="8" xfId="17" applyFont="1" applyBorder="1" applyAlignment="1">
      <alignment horizontal="distributed" vertical="center"/>
    </xf>
    <xf numFmtId="38" fontId="7" fillId="0" borderId="28" xfId="17" applyFont="1" applyBorder="1" applyAlignment="1">
      <alignment horizontal="distributed" vertical="center"/>
    </xf>
    <xf numFmtId="38" fontId="7" fillId="0" borderId="39" xfId="17" applyFont="1" applyBorder="1" applyAlignment="1">
      <alignment horizontal="distributed" vertical="center" wrapText="1"/>
    </xf>
    <xf numFmtId="38" fontId="7" fillId="0" borderId="1" xfId="17" applyFont="1" applyBorder="1" applyAlignment="1">
      <alignment horizontal="distributed" vertical="center" wrapText="1"/>
    </xf>
    <xf numFmtId="38" fontId="7" fillId="0" borderId="28" xfId="17" applyFont="1" applyBorder="1" applyAlignment="1">
      <alignment horizontal="distributed" vertical="center" wrapText="1"/>
    </xf>
    <xf numFmtId="38" fontId="7" fillId="0" borderId="13" xfId="17" applyFont="1" applyBorder="1" applyAlignment="1">
      <alignment horizontal="distributed" vertical="center" wrapText="1"/>
    </xf>
    <xf numFmtId="38" fontId="7" fillId="0" borderId="2" xfId="17" applyFont="1" applyBorder="1" applyAlignment="1">
      <alignment horizontal="distributed" vertical="center" wrapText="1"/>
    </xf>
    <xf numFmtId="38" fontId="7" fillId="0" borderId="29" xfId="17" applyFont="1" applyBorder="1" applyAlignment="1">
      <alignment horizontal="distributed" vertical="center" wrapText="1"/>
    </xf>
    <xf numFmtId="0" fontId="7" fillId="0" borderId="9" xfId="35" applyFont="1" applyBorder="1" applyAlignment="1" applyProtection="1">
      <alignment horizontal="center" vertical="center"/>
      <protection locked="0"/>
    </xf>
    <xf numFmtId="0" fontId="4" fillId="0" borderId="29" xfId="25" applyFont="1" applyBorder="1" applyAlignment="1">
      <alignment horizontal="center" vertical="center"/>
      <protection/>
    </xf>
    <xf numFmtId="0" fontId="7" fillId="0" borderId="39" xfId="35" applyFont="1" applyBorder="1" applyAlignment="1" applyProtection="1">
      <alignment horizontal="center" vertical="center"/>
      <protection locked="0"/>
    </xf>
    <xf numFmtId="0" fontId="7" fillId="0" borderId="2" xfId="35" applyFont="1" applyBorder="1" applyAlignment="1" applyProtection="1">
      <alignment horizontal="center" vertical="center"/>
      <protection locked="0"/>
    </xf>
    <xf numFmtId="0" fontId="7" fillId="0" borderId="29" xfId="35" applyFont="1" applyBorder="1" applyAlignment="1" applyProtection="1">
      <alignment horizontal="center" vertical="center"/>
      <protection locked="0"/>
    </xf>
    <xf numFmtId="0" fontId="7" fillId="0" borderId="8" xfId="35" applyFont="1" applyBorder="1" applyAlignment="1" applyProtection="1">
      <alignment horizontal="center" vertical="center" wrapText="1"/>
      <protection locked="0"/>
    </xf>
    <xf numFmtId="0" fontId="7" fillId="0" borderId="28" xfId="35" applyFont="1" applyBorder="1" applyAlignment="1" applyProtection="1">
      <alignment horizontal="center" vertical="center"/>
      <protection locked="0"/>
    </xf>
    <xf numFmtId="0" fontId="7" fillId="0" borderId="13" xfId="35" applyFont="1" applyBorder="1" applyAlignment="1" applyProtection="1">
      <alignment horizontal="distributed" vertical="center"/>
      <protection locked="0"/>
    </xf>
    <xf numFmtId="0" fontId="7" fillId="0" borderId="14" xfId="35" applyFont="1" applyBorder="1" applyAlignment="1" applyProtection="1">
      <alignment horizontal="distributed" vertical="center"/>
      <protection locked="0"/>
    </xf>
    <xf numFmtId="0" fontId="7" fillId="0" borderId="2" xfId="35" applyFont="1" applyBorder="1" applyAlignment="1" applyProtection="1">
      <alignment horizontal="distributed" vertical="center"/>
      <protection locked="0"/>
    </xf>
    <xf numFmtId="0" fontId="7" fillId="0" borderId="29" xfId="35" applyFont="1" applyBorder="1" applyAlignment="1" applyProtection="1">
      <alignment horizontal="distributed" vertical="center"/>
      <protection locked="0"/>
    </xf>
    <xf numFmtId="0" fontId="7" fillId="0" borderId="12" xfId="35" applyFont="1" applyBorder="1" applyAlignment="1">
      <alignment horizontal="distributed" vertical="center"/>
      <protection/>
    </xf>
    <xf numFmtId="0" fontId="7" fillId="0" borderId="6" xfId="35" applyFont="1" applyBorder="1" applyAlignment="1">
      <alignment horizontal="distributed" vertical="center"/>
      <protection/>
    </xf>
    <xf numFmtId="0" fontId="7" fillId="0" borderId="15" xfId="35" applyFont="1" applyBorder="1" applyAlignment="1">
      <alignment horizontal="distributed" vertical="center"/>
      <protection/>
    </xf>
    <xf numFmtId="0" fontId="7" fillId="0" borderId="8" xfId="35" applyFont="1" applyBorder="1" applyAlignment="1" applyProtection="1">
      <alignment horizontal="center" vertical="center"/>
      <protection locked="0"/>
    </xf>
    <xf numFmtId="0" fontId="4" fillId="0" borderId="28" xfId="25" applyFont="1" applyBorder="1" applyAlignment="1">
      <alignment horizontal="center" vertical="center"/>
      <protection/>
    </xf>
    <xf numFmtId="0" fontId="7" fillId="0" borderId="8" xfId="35" applyFont="1" applyBorder="1" applyAlignment="1">
      <alignment horizontal="center" vertical="center" wrapText="1"/>
      <protection/>
    </xf>
    <xf numFmtId="0" fontId="7" fillId="0" borderId="28" xfId="35" applyFont="1" applyBorder="1" applyAlignment="1">
      <alignment horizontal="center" vertical="center"/>
      <protection/>
    </xf>
    <xf numFmtId="0" fontId="7" fillId="0" borderId="8" xfId="35" applyFont="1" applyBorder="1" applyAlignment="1">
      <alignment horizontal="center" vertical="center"/>
      <protection/>
    </xf>
    <xf numFmtId="0" fontId="7" fillId="0" borderId="13" xfId="35" applyFont="1" applyBorder="1" applyAlignment="1">
      <alignment horizontal="distributed" vertical="center"/>
      <protection/>
    </xf>
    <xf numFmtId="0" fontId="7" fillId="0" borderId="14" xfId="35" applyFont="1" applyBorder="1" applyAlignment="1">
      <alignment horizontal="distributed" vertical="center"/>
      <protection/>
    </xf>
    <xf numFmtId="0" fontId="7" fillId="0" borderId="39" xfId="35" applyFont="1" applyBorder="1" applyAlignment="1" applyProtection="1">
      <alignment horizontal="distributed" vertical="center"/>
      <protection locked="0"/>
    </xf>
    <xf numFmtId="0" fontId="7" fillId="0" borderId="1" xfId="35" applyFont="1" applyBorder="1" applyAlignment="1" applyProtection="1">
      <alignment horizontal="distributed" vertical="center"/>
      <protection locked="0"/>
    </xf>
    <xf numFmtId="0" fontId="7" fillId="0" borderId="28" xfId="35" applyFont="1" applyBorder="1" applyAlignment="1" applyProtection="1">
      <alignment horizontal="distributed" vertical="center"/>
      <protection locked="0"/>
    </xf>
    <xf numFmtId="0" fontId="7" fillId="0" borderId="1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2" xfId="31" applyFont="1" applyFill="1" applyBorder="1" applyAlignment="1">
      <alignment horizontal="distributed" vertical="center"/>
      <protection/>
    </xf>
    <xf numFmtId="0" fontId="7" fillId="0" borderId="15" xfId="31" applyFont="1" applyFill="1" applyBorder="1" applyAlignment="1">
      <alignment horizontal="distributed" vertical="center"/>
      <protection/>
    </xf>
    <xf numFmtId="0" fontId="7" fillId="0" borderId="13" xfId="31" applyFont="1" applyFill="1" applyBorder="1" applyAlignment="1">
      <alignment horizontal="distributed" vertical="center"/>
      <protection/>
    </xf>
    <xf numFmtId="0" fontId="7" fillId="0" borderId="14" xfId="31" applyFont="1" applyFill="1" applyBorder="1" applyAlignment="1">
      <alignment horizontal="distributed" vertical="center"/>
      <protection/>
    </xf>
    <xf numFmtId="0" fontId="7" fillId="0" borderId="12" xfId="31" applyFont="1" applyBorder="1" applyAlignment="1">
      <alignment horizontal="distributed" vertical="center"/>
      <protection/>
    </xf>
    <xf numFmtId="0" fontId="7" fillId="0" borderId="15" xfId="31" applyFont="1" applyBorder="1" applyAlignment="1">
      <alignment horizontal="distributed" vertical="center"/>
      <protection/>
    </xf>
    <xf numFmtId="0" fontId="7" fillId="0" borderId="39" xfId="31" applyFont="1" applyBorder="1" applyAlignment="1">
      <alignment horizontal="distributed" vertical="center"/>
      <protection/>
    </xf>
    <xf numFmtId="0" fontId="7" fillId="0" borderId="28" xfId="31" applyFont="1" applyBorder="1" applyAlignment="1">
      <alignment horizontal="distributed" vertical="center"/>
      <protection/>
    </xf>
    <xf numFmtId="0" fontId="7" fillId="0" borderId="13" xfId="31" applyFont="1" applyBorder="1" applyAlignment="1">
      <alignment horizontal="distributed" vertical="center"/>
      <protection/>
    </xf>
    <xf numFmtId="0" fontId="7" fillId="0" borderId="14" xfId="31" applyFont="1" applyBorder="1" applyAlignment="1">
      <alignment horizontal="distributed" vertical="center"/>
      <protection/>
    </xf>
    <xf numFmtId="0" fontId="7" fillId="0" borderId="13" xfId="31" applyFont="1" applyBorder="1" applyAlignment="1">
      <alignment horizontal="distributed" vertical="center"/>
      <protection/>
    </xf>
    <xf numFmtId="0" fontId="7" fillId="0" borderId="29" xfId="31" applyFont="1" applyBorder="1" applyAlignment="1">
      <alignment horizontal="distributed" vertical="center"/>
      <protection/>
    </xf>
    <xf numFmtId="0" fontId="7" fillId="0" borderId="29" xfId="31" applyFont="1" applyBorder="1" applyAlignment="1">
      <alignment horizontal="distributed" vertical="center"/>
      <protection/>
    </xf>
    <xf numFmtId="0" fontId="7" fillId="0" borderId="40" xfId="31" applyFont="1" applyBorder="1" applyAlignment="1">
      <alignment horizontal="distributed" vertical="center"/>
      <protection/>
    </xf>
    <xf numFmtId="0" fontId="7" fillId="0" borderId="41" xfId="31" applyFont="1" applyBorder="1" applyAlignment="1">
      <alignment horizontal="distributed" vertical="center"/>
      <protection/>
    </xf>
    <xf numFmtId="0" fontId="7" fillId="0" borderId="42" xfId="31" applyFont="1" applyBorder="1" applyAlignment="1">
      <alignment horizontal="distributed" vertical="center"/>
      <protection/>
    </xf>
    <xf numFmtId="0" fontId="7" fillId="0" borderId="39" xfId="31" applyFont="1" applyBorder="1" applyAlignment="1">
      <alignment horizontal="distributed" vertical="center" wrapText="1"/>
      <protection/>
    </xf>
    <xf numFmtId="0" fontId="7" fillId="0" borderId="28" xfId="31" applyFont="1" applyBorder="1" applyAlignment="1">
      <alignment horizontal="distributed" vertical="center"/>
      <protection/>
    </xf>
    <xf numFmtId="0" fontId="3" fillId="0" borderId="39" xfId="31" applyFont="1" applyBorder="1" applyAlignment="1">
      <alignment horizontal="distributed" vertical="center" wrapText="1"/>
      <protection/>
    </xf>
    <xf numFmtId="0" fontId="3" fillId="0" borderId="28" xfId="31" applyFont="1" applyBorder="1" applyAlignment="1">
      <alignment horizontal="distributed" vertical="center"/>
      <protection/>
    </xf>
    <xf numFmtId="0" fontId="7" fillId="0" borderId="8" xfId="0" applyFont="1" applyBorder="1" applyAlignment="1">
      <alignment horizontal="center" vertical="center"/>
    </xf>
    <xf numFmtId="0" fontId="7" fillId="0" borderId="28" xfId="0" applyFont="1" applyBorder="1" applyAlignment="1">
      <alignment horizontal="center" vertical="center"/>
    </xf>
    <xf numFmtId="3" fontId="3" fillId="0" borderId="1" xfId="0" applyNumberFormat="1" applyFont="1" applyFill="1" applyBorder="1" applyAlignment="1">
      <alignment vertical="center" shrinkToFit="1"/>
    </xf>
    <xf numFmtId="0" fontId="0" fillId="0" borderId="1" xfId="0" applyFont="1" applyFill="1" applyBorder="1" applyAlignment="1">
      <alignment vertical="center" shrinkToFit="1"/>
    </xf>
    <xf numFmtId="3" fontId="3" fillId="0" borderId="2" xfId="0" applyNumberFormat="1" applyFont="1" applyFill="1" applyBorder="1" applyAlignment="1">
      <alignment vertical="center" shrinkToFit="1"/>
    </xf>
    <xf numFmtId="0" fontId="0" fillId="0" borderId="2" xfId="0" applyFont="1" applyFill="1" applyBorder="1" applyAlignment="1">
      <alignment vertical="center" shrinkToFit="1"/>
    </xf>
    <xf numFmtId="0" fontId="7" fillId="0" borderId="0" xfId="0" applyFont="1" applyFill="1" applyBorder="1" applyAlignment="1">
      <alignment horizontal="distributed" vertical="center"/>
    </xf>
    <xf numFmtId="0" fontId="7" fillId="0" borderId="0" xfId="0" applyFont="1" applyFill="1" applyAlignment="1">
      <alignment horizontal="distributed" vertical="center"/>
    </xf>
    <xf numFmtId="0" fontId="7" fillId="0" borderId="6" xfId="0" applyFont="1" applyFill="1" applyBorder="1" applyAlignment="1">
      <alignment horizontal="distributed" vertical="center"/>
    </xf>
    <xf numFmtId="3" fontId="3" fillId="0" borderId="1" xfId="0" applyNumberFormat="1" applyFont="1" applyFill="1" applyBorder="1" applyAlignment="1">
      <alignment horizontal="right" vertical="center" shrinkToFit="1"/>
    </xf>
    <xf numFmtId="0" fontId="0" fillId="0" borderId="1" xfId="0" applyFont="1" applyFill="1" applyBorder="1" applyAlignment="1">
      <alignment horizontal="right" vertical="center" shrinkToFit="1"/>
    </xf>
    <xf numFmtId="3" fontId="3" fillId="0" borderId="2" xfId="0" applyNumberFormat="1" applyFont="1" applyFill="1" applyBorder="1" applyAlignment="1">
      <alignment horizontal="right" vertical="center" shrinkToFit="1"/>
    </xf>
    <xf numFmtId="0" fontId="0" fillId="0" borderId="2" xfId="0" applyFont="1" applyFill="1" applyBorder="1" applyAlignment="1">
      <alignment horizontal="right" vertical="center" shrinkToFit="1"/>
    </xf>
    <xf numFmtId="0" fontId="4" fillId="0" borderId="0" xfId="0" applyFont="1" applyFill="1" applyBorder="1" applyAlignment="1">
      <alignment horizontal="distributed" vertical="center"/>
    </xf>
    <xf numFmtId="38" fontId="3" fillId="0" borderId="12" xfId="17" applyFont="1" applyBorder="1" applyAlignment="1">
      <alignment horizontal="center" vertical="center"/>
    </xf>
    <xf numFmtId="38" fontId="3" fillId="0" borderId="15" xfId="17" applyFont="1" applyBorder="1" applyAlignment="1">
      <alignment horizontal="center" vertical="center"/>
    </xf>
    <xf numFmtId="3" fontId="3" fillId="0" borderId="0" xfId="0" applyNumberFormat="1" applyFont="1" applyBorder="1" applyAlignment="1">
      <alignment vertical="center" shrinkToFit="1"/>
    </xf>
    <xf numFmtId="3" fontId="7" fillId="0" borderId="10" xfId="0" applyNumberFormat="1" applyFont="1" applyBorder="1" applyAlignment="1">
      <alignment horizontal="right" vertical="center" shrinkToFit="1"/>
    </xf>
    <xf numFmtId="0" fontId="7"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3" fontId="7" fillId="0" borderId="39" xfId="0" applyNumberFormat="1" applyFont="1" applyBorder="1" applyAlignment="1">
      <alignment horizontal="center" vertical="center" shrinkToFit="1"/>
    </xf>
    <xf numFmtId="0" fontId="0" fillId="0" borderId="28" xfId="0" applyFont="1" applyBorder="1" applyAlignment="1">
      <alignment horizontal="center" vertical="center" shrinkToFit="1"/>
    </xf>
    <xf numFmtId="3" fontId="7" fillId="0" borderId="13" xfId="0" applyNumberFormat="1" applyFont="1" applyBorder="1" applyAlignment="1">
      <alignment horizontal="center" vertical="center" shrinkToFit="1"/>
    </xf>
    <xf numFmtId="0" fontId="0" fillId="0" borderId="29" xfId="0" applyFont="1" applyBorder="1" applyAlignment="1">
      <alignment horizontal="center" vertical="center" shrinkToFit="1"/>
    </xf>
    <xf numFmtId="0" fontId="7" fillId="0" borderId="27" xfId="0" applyFont="1" applyBorder="1" applyAlignment="1">
      <alignment horizontal="center" vertical="center"/>
    </xf>
    <xf numFmtId="0" fontId="0" fillId="0" borderId="27" xfId="0" applyFont="1" applyBorder="1" applyAlignment="1">
      <alignment horizontal="center" vertical="center"/>
    </xf>
    <xf numFmtId="0" fontId="0" fillId="0" borderId="15" xfId="0" applyFont="1" applyBorder="1" applyAlignment="1">
      <alignment horizontal="center" vertical="center"/>
    </xf>
  </cellXfs>
  <cellStyles count="28">
    <cellStyle name="Normal" xfId="0"/>
    <cellStyle name="Percent" xfId="15"/>
    <cellStyle name="Hyperlink" xfId="16"/>
    <cellStyle name="Comma [0]" xfId="17"/>
    <cellStyle name="Comma" xfId="18"/>
    <cellStyle name="Currency [0]" xfId="19"/>
    <cellStyle name="Currency" xfId="20"/>
    <cellStyle name="標準_12 一覧表（Excel)仕様" xfId="21"/>
    <cellStyle name="標準_12 一覧表（Excel)仕様_５－１" xfId="22"/>
    <cellStyle name="標準_12 一覧表（Excel)仕様_５－２" xfId="23"/>
    <cellStyle name="標準_12 一覧表（Excel)仕様_５－３" xfId="24"/>
    <cellStyle name="標準_15p200-201_５－５(1)" xfId="25"/>
    <cellStyle name="標準_５－１１国有林の林種別面積" xfId="26"/>
    <cellStyle name="標準_５－１保有山林面積規模別経営体数＿最終" xfId="27"/>
    <cellStyle name="標準_５－２保有山林の人工林率別林業経営体数＿最終" xfId="28"/>
    <cellStyle name="標準_５－５（２）林野副産物生産量" xfId="29"/>
    <cellStyle name="標準_５－５林産物生産量（１）素材生産量" xfId="30"/>
    <cellStyle name="標準_５－６" xfId="31"/>
    <cellStyle name="標準_５－７市町村別、目的別保安林面積" xfId="32"/>
    <cellStyle name="標準_５－８林道" xfId="33"/>
    <cellStyle name="標準_５－９国有林の林種別蓄積" xfId="34"/>
    <cellStyle name="標準_８年報（木材１）" xfId="35"/>
    <cellStyle name="標準_８年報（木材２）" xfId="36"/>
    <cellStyle name="標準_hyoto_５－３" xfId="37"/>
    <cellStyle name="標準_一覧表様式40100_５－１" xfId="38"/>
    <cellStyle name="標準_一覧表様式40100_５－２" xfId="39"/>
    <cellStyle name="標準_一覧表様式40100_５－３" xfId="40"/>
    <cellStyle name="Followed Hyperlink"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17</xdr:row>
      <xdr:rowOff>133350</xdr:rowOff>
    </xdr:from>
    <xdr:to>
      <xdr:col>10</xdr:col>
      <xdr:colOff>0</xdr:colOff>
      <xdr:row>19</xdr:row>
      <xdr:rowOff>104775</xdr:rowOff>
    </xdr:to>
    <xdr:sp>
      <xdr:nvSpPr>
        <xdr:cNvPr id="1" name="テキスト 6"/>
        <xdr:cNvSpPr txBox="1">
          <a:spLocks noChangeArrowheads="1"/>
        </xdr:cNvSpPr>
      </xdr:nvSpPr>
      <xdr:spPr>
        <a:xfrm>
          <a:off x="7058025" y="3219450"/>
          <a:ext cx="0" cy="295275"/>
        </a:xfrm>
        <a:prstGeom prst="rect">
          <a:avLst/>
        </a:prstGeom>
        <a:solidFill>
          <a:srgbClr val="FFFFFF"/>
        </a:solidFill>
        <a:ln w="1" cmpd="sng">
          <a:noFill/>
        </a:ln>
      </xdr:spPr>
      <xdr:txBody>
        <a:bodyPr vertOverflow="clip" wrap="square" anchor="dist"/>
        <a:p>
          <a:pPr algn="dist">
            <a:defRPr/>
          </a:pPr>
          <a:r>
            <a:rPr lang="en-US" cap="none" sz="1100" b="0" i="0" u="none" baseline="0"/>
            <a:t>林地残材・
解体材・廃材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1"/>
  <sheetViews>
    <sheetView tabSelected="1" workbookViewId="0" topLeftCell="A1">
      <selection activeCell="A1" sqref="A1"/>
    </sheetView>
  </sheetViews>
  <sheetFormatPr defaultColWidth="9.00390625" defaultRowHeight="13.5"/>
  <cols>
    <col min="1" max="16384" width="9.00390625" style="282" customWidth="1"/>
  </cols>
  <sheetData>
    <row r="1" ht="13.5">
      <c r="A1" s="282" t="s">
        <v>225</v>
      </c>
    </row>
    <row r="4" ht="13.5">
      <c r="A4" s="283" t="s">
        <v>245</v>
      </c>
    </row>
    <row r="5" ht="13.5">
      <c r="A5" s="284" t="s">
        <v>246</v>
      </c>
    </row>
    <row r="6" ht="13.5">
      <c r="A6" s="285" t="s">
        <v>247</v>
      </c>
    </row>
    <row r="7" ht="13.5">
      <c r="A7" s="286" t="s">
        <v>248</v>
      </c>
    </row>
    <row r="8" ht="13.5">
      <c r="A8" s="287" t="s">
        <v>249</v>
      </c>
    </row>
    <row r="9" ht="13.5">
      <c r="B9" s="287" t="s">
        <v>75</v>
      </c>
    </row>
    <row r="10" ht="13.5">
      <c r="B10" s="288" t="s">
        <v>88</v>
      </c>
    </row>
    <row r="11" ht="13.5">
      <c r="A11" s="282" t="s">
        <v>250</v>
      </c>
    </row>
    <row r="12" ht="13.5">
      <c r="B12" s="282" t="s">
        <v>102</v>
      </c>
    </row>
    <row r="13" ht="13.5">
      <c r="B13" s="289" t="s">
        <v>114</v>
      </c>
    </row>
    <row r="14" ht="13.5">
      <c r="B14" s="282" t="s">
        <v>226</v>
      </c>
    </row>
    <row r="15" ht="13.5">
      <c r="B15" s="282" t="s">
        <v>125</v>
      </c>
    </row>
    <row r="16" ht="13.5">
      <c r="A16" s="290" t="s">
        <v>251</v>
      </c>
    </row>
    <row r="17" ht="13.5">
      <c r="A17" s="291" t="s">
        <v>252</v>
      </c>
    </row>
    <row r="18" ht="13.5">
      <c r="A18" s="292" t="s">
        <v>253</v>
      </c>
    </row>
    <row r="19" ht="13.5">
      <c r="A19" s="293" t="s">
        <v>254</v>
      </c>
    </row>
    <row r="20" ht="13.5">
      <c r="A20" s="294" t="s">
        <v>371</v>
      </c>
    </row>
    <row r="21" ht="13.5">
      <c r="A21" s="293" t="s">
        <v>372</v>
      </c>
    </row>
  </sheetData>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K9"/>
  <sheetViews>
    <sheetView workbookViewId="0" topLeftCell="A1">
      <selection activeCell="A1" sqref="A1"/>
    </sheetView>
  </sheetViews>
  <sheetFormatPr defaultColWidth="9.00390625" defaultRowHeight="13.5"/>
  <cols>
    <col min="1" max="1" width="10.625" style="141" customWidth="1"/>
    <col min="2" max="2" width="9.00390625" style="141" customWidth="1"/>
    <col min="3" max="9" width="8.375" style="141" customWidth="1"/>
    <col min="10" max="10" width="9.00390625" style="141" customWidth="1"/>
    <col min="11" max="11" width="8.625" style="141" customWidth="1"/>
    <col min="12" max="16384" width="9.00390625" style="141" customWidth="1"/>
  </cols>
  <sheetData>
    <row r="1" spans="1:11" ht="21" customHeight="1" thickBot="1">
      <c r="A1" s="141" t="s">
        <v>114</v>
      </c>
      <c r="J1" s="142"/>
      <c r="K1" s="143" t="s">
        <v>135</v>
      </c>
    </row>
    <row r="2" spans="1:11" ht="15" customHeight="1" thickTop="1">
      <c r="A2" s="464" t="s">
        <v>90</v>
      </c>
      <c r="B2" s="466" t="s">
        <v>105</v>
      </c>
      <c r="C2" s="468" t="s">
        <v>132</v>
      </c>
      <c r="D2" s="469"/>
      <c r="E2" s="464"/>
      <c r="F2" s="468" t="s">
        <v>133</v>
      </c>
      <c r="G2" s="469"/>
      <c r="H2" s="469"/>
      <c r="I2" s="469"/>
      <c r="J2" s="468"/>
      <c r="K2" s="469"/>
    </row>
    <row r="3" spans="1:11" ht="30" customHeight="1">
      <c r="A3" s="465"/>
      <c r="B3" s="467"/>
      <c r="C3" s="146" t="s">
        <v>115</v>
      </c>
      <c r="D3" s="146" t="s">
        <v>116</v>
      </c>
      <c r="E3" s="146" t="s">
        <v>117</v>
      </c>
      <c r="F3" s="146" t="s">
        <v>115</v>
      </c>
      <c r="G3" s="146" t="s">
        <v>118</v>
      </c>
      <c r="H3" s="146" t="s">
        <v>119</v>
      </c>
      <c r="I3" s="146" t="s">
        <v>120</v>
      </c>
      <c r="J3" s="147" t="s">
        <v>344</v>
      </c>
      <c r="K3" s="148" t="s">
        <v>121</v>
      </c>
    </row>
    <row r="4" spans="1:11" ht="15" customHeight="1">
      <c r="A4" s="135" t="s">
        <v>107</v>
      </c>
      <c r="B4" s="149">
        <v>449</v>
      </c>
      <c r="C4" s="150">
        <v>184</v>
      </c>
      <c r="D4" s="150">
        <v>183</v>
      </c>
      <c r="E4" s="150">
        <v>1</v>
      </c>
      <c r="F4" s="150">
        <v>265</v>
      </c>
      <c r="G4" s="150">
        <v>1</v>
      </c>
      <c r="H4" s="150">
        <v>114</v>
      </c>
      <c r="I4" s="150">
        <v>149</v>
      </c>
      <c r="J4" s="150">
        <v>1</v>
      </c>
      <c r="K4" s="151">
        <v>0</v>
      </c>
    </row>
    <row r="5" spans="1:11" ht="15" customHeight="1">
      <c r="A5" s="138" t="s">
        <v>108</v>
      </c>
      <c r="B5" s="149">
        <v>403</v>
      </c>
      <c r="C5" s="150">
        <v>171</v>
      </c>
      <c r="D5" s="150">
        <v>170</v>
      </c>
      <c r="E5" s="150">
        <v>1</v>
      </c>
      <c r="F5" s="150">
        <v>232</v>
      </c>
      <c r="G5" s="150">
        <v>1</v>
      </c>
      <c r="H5" s="150">
        <v>67</v>
      </c>
      <c r="I5" s="150">
        <v>163</v>
      </c>
      <c r="J5" s="150">
        <v>1</v>
      </c>
      <c r="K5" s="151">
        <v>0</v>
      </c>
    </row>
    <row r="6" spans="1:11" ht="15" customHeight="1">
      <c r="A6" s="138" t="s">
        <v>109</v>
      </c>
      <c r="B6" s="149">
        <v>384</v>
      </c>
      <c r="C6" s="150">
        <v>181</v>
      </c>
      <c r="D6" s="150">
        <v>180</v>
      </c>
      <c r="E6" s="150">
        <v>1</v>
      </c>
      <c r="F6" s="150">
        <v>203</v>
      </c>
      <c r="G6" s="150">
        <v>1</v>
      </c>
      <c r="H6" s="150">
        <v>62</v>
      </c>
      <c r="I6" s="150">
        <v>139</v>
      </c>
      <c r="J6" s="150">
        <v>1</v>
      </c>
      <c r="K6" s="151">
        <v>0</v>
      </c>
    </row>
    <row r="7" spans="1:11" ht="15" customHeight="1">
      <c r="A7" s="138" t="s">
        <v>110</v>
      </c>
      <c r="B7" s="149">
        <v>352</v>
      </c>
      <c r="C7" s="150">
        <v>180</v>
      </c>
      <c r="D7" s="150">
        <v>179</v>
      </c>
      <c r="E7" s="150">
        <v>1</v>
      </c>
      <c r="F7" s="150">
        <v>172</v>
      </c>
      <c r="G7" s="150">
        <v>1</v>
      </c>
      <c r="H7" s="150">
        <v>54</v>
      </c>
      <c r="I7" s="150">
        <v>117</v>
      </c>
      <c r="J7" s="152">
        <v>0</v>
      </c>
      <c r="K7" s="153">
        <v>0</v>
      </c>
    </row>
    <row r="8" spans="1:11" s="154" customFormat="1" ht="15" customHeight="1">
      <c r="A8" s="138" t="s">
        <v>111</v>
      </c>
      <c r="B8" s="149">
        <f>C8+F8</f>
        <v>344</v>
      </c>
      <c r="C8" s="150">
        <f>SUM(D8:E8)</f>
        <v>185</v>
      </c>
      <c r="D8" s="150">
        <v>184</v>
      </c>
      <c r="E8" s="150">
        <v>1</v>
      </c>
      <c r="F8" s="150">
        <f>SUM(G8:K8)</f>
        <v>159</v>
      </c>
      <c r="G8" s="150">
        <v>1</v>
      </c>
      <c r="H8" s="150">
        <v>42</v>
      </c>
      <c r="I8" s="150">
        <v>116</v>
      </c>
      <c r="J8" s="150">
        <v>0</v>
      </c>
      <c r="K8" s="153">
        <v>0</v>
      </c>
    </row>
    <row r="9" spans="1:11" ht="18" customHeight="1" thickBot="1">
      <c r="A9" s="321" t="s">
        <v>112</v>
      </c>
      <c r="B9" s="325">
        <f>C9+F9</f>
        <v>309</v>
      </c>
      <c r="C9" s="326">
        <f>SUM(D9:E9)</f>
        <v>169</v>
      </c>
      <c r="D9" s="326">
        <v>168</v>
      </c>
      <c r="E9" s="326">
        <v>1</v>
      </c>
      <c r="F9" s="326">
        <f>SUM(G9:K9)</f>
        <v>140</v>
      </c>
      <c r="G9" s="326">
        <v>1</v>
      </c>
      <c r="H9" s="326">
        <v>34</v>
      </c>
      <c r="I9" s="326">
        <v>105</v>
      </c>
      <c r="J9" s="327" t="s">
        <v>122</v>
      </c>
      <c r="K9" s="327" t="s">
        <v>122</v>
      </c>
    </row>
  </sheetData>
  <mergeCells count="4">
    <mergeCell ref="A2:A3"/>
    <mergeCell ref="B2:B3"/>
    <mergeCell ref="C2:E2"/>
    <mergeCell ref="F2:K2"/>
  </mergeCells>
  <printOptions/>
  <pageMargins left="0.5905511811023623" right="0.1968503937007874" top="0.984251968503937" bottom="0.984251968503937" header="0.5118110236220472" footer="0.5118110236220472"/>
  <pageSetup horizontalDpi="400" verticalDpi="400" orientation="portrait" paperSize="9" scale="95" r:id="rId1"/>
  <headerFooter alignWithMargins="0">
    <oddHeader>&amp;R&amp;D&amp;T</oddHeader>
  </headerFooter>
</worksheet>
</file>

<file path=xl/worksheets/sheet11.xml><?xml version="1.0" encoding="utf-8"?>
<worksheet xmlns="http://schemas.openxmlformats.org/spreadsheetml/2006/main" xmlns:r="http://schemas.openxmlformats.org/officeDocument/2006/relationships">
  <dimension ref="A1:J8"/>
  <sheetViews>
    <sheetView workbookViewId="0" topLeftCell="A1">
      <selection activeCell="A1" sqref="A1"/>
    </sheetView>
  </sheetViews>
  <sheetFormatPr defaultColWidth="9.00390625" defaultRowHeight="13.5"/>
  <cols>
    <col min="1" max="1" width="10.625" style="140" customWidth="1"/>
    <col min="2" max="2" width="20.625" style="140" customWidth="1"/>
    <col min="3" max="3" width="20.625" style="127" customWidth="1"/>
    <col min="4" max="4" width="20.625" style="140" customWidth="1"/>
    <col min="5" max="16384" width="9.00390625" style="140" customWidth="1"/>
  </cols>
  <sheetData>
    <row r="1" spans="1:4" ht="15" thickBot="1">
      <c r="A1" s="140" t="s">
        <v>134</v>
      </c>
      <c r="D1" s="155" t="s">
        <v>135</v>
      </c>
    </row>
    <row r="2" spans="1:10" ht="21" customHeight="1" thickTop="1">
      <c r="A2" s="144" t="s">
        <v>90</v>
      </c>
      <c r="B2" s="156" t="s">
        <v>136</v>
      </c>
      <c r="C2" s="157" t="s">
        <v>123</v>
      </c>
      <c r="D2" s="158" t="s">
        <v>124</v>
      </c>
      <c r="I2" s="159"/>
      <c r="J2" s="159"/>
    </row>
    <row r="3" spans="1:10" ht="15" customHeight="1">
      <c r="A3" s="135" t="s">
        <v>107</v>
      </c>
      <c r="B3" s="150">
        <v>449</v>
      </c>
      <c r="C3" s="160">
        <v>428</v>
      </c>
      <c r="D3" s="153">
        <v>282</v>
      </c>
      <c r="I3" s="159"/>
      <c r="J3" s="159"/>
    </row>
    <row r="4" spans="1:10" ht="15" customHeight="1">
      <c r="A4" s="138" t="s">
        <v>108</v>
      </c>
      <c r="B4" s="150">
        <v>403</v>
      </c>
      <c r="C4" s="160">
        <v>387</v>
      </c>
      <c r="D4" s="153">
        <v>232</v>
      </c>
      <c r="I4" s="159"/>
      <c r="J4" s="159"/>
    </row>
    <row r="5" spans="1:10" ht="15" customHeight="1">
      <c r="A5" s="138" t="s">
        <v>109</v>
      </c>
      <c r="B5" s="150">
        <v>384</v>
      </c>
      <c r="C5" s="160">
        <v>370</v>
      </c>
      <c r="D5" s="153">
        <v>234</v>
      </c>
      <c r="I5" s="159"/>
      <c r="J5" s="159"/>
    </row>
    <row r="6" spans="1:10" ht="15" customHeight="1">
      <c r="A6" s="138" t="s">
        <v>110</v>
      </c>
      <c r="B6" s="150">
        <v>352</v>
      </c>
      <c r="C6" s="160">
        <v>344</v>
      </c>
      <c r="D6" s="153">
        <v>210</v>
      </c>
      <c r="I6" s="159"/>
      <c r="J6" s="159"/>
    </row>
    <row r="7" spans="1:10" s="161" customFormat="1" ht="15" customHeight="1">
      <c r="A7" s="138" t="s">
        <v>111</v>
      </c>
      <c r="B7" s="150">
        <v>344</v>
      </c>
      <c r="C7" s="160">
        <v>346</v>
      </c>
      <c r="D7" s="153">
        <v>195</v>
      </c>
      <c r="I7" s="162"/>
      <c r="J7" s="162"/>
    </row>
    <row r="8" spans="1:10" ht="12.75" thickBot="1">
      <c r="A8" s="321" t="s">
        <v>112</v>
      </c>
      <c r="B8" s="326">
        <v>309</v>
      </c>
      <c r="C8" s="326">
        <v>306</v>
      </c>
      <c r="D8" s="328">
        <v>171</v>
      </c>
      <c r="I8" s="159"/>
      <c r="J8" s="159"/>
    </row>
  </sheetData>
  <printOptions/>
  <pageMargins left="0.5905511811023623" right="0.1968503937007874" top="0.984251968503937" bottom="0.984251968503937" header="0.5118110236220472" footer="0.5118110236220472"/>
  <pageSetup horizontalDpi="400" verticalDpi="400" orientation="portrait" paperSize="9" scale="95" r:id="rId1"/>
  <headerFooter alignWithMargins="0">
    <oddHeader>&amp;R&amp;D&amp;T</oddHeader>
  </headerFooter>
</worksheet>
</file>

<file path=xl/worksheets/sheet12.xml><?xml version="1.0" encoding="utf-8"?>
<worksheet xmlns="http://schemas.openxmlformats.org/spreadsheetml/2006/main" xmlns:r="http://schemas.openxmlformats.org/officeDocument/2006/relationships">
  <dimension ref="A1:J9"/>
  <sheetViews>
    <sheetView workbookViewId="0" topLeftCell="A1">
      <selection activeCell="A1" sqref="A1"/>
    </sheetView>
  </sheetViews>
  <sheetFormatPr defaultColWidth="9.00390625" defaultRowHeight="13.5"/>
  <cols>
    <col min="1" max="1" width="10.625" style="140" customWidth="1"/>
    <col min="2" max="2" width="9.00390625" style="140" customWidth="1"/>
    <col min="3" max="4" width="8.625" style="140" customWidth="1"/>
    <col min="5" max="6" width="9.00390625" style="140" customWidth="1"/>
    <col min="7" max="7" width="8.625" style="140" customWidth="1"/>
    <col min="8" max="8" width="10.625" style="140" customWidth="1"/>
    <col min="9" max="9" width="8.625" style="140" customWidth="1"/>
    <col min="10" max="10" width="9.875" style="140" customWidth="1"/>
    <col min="11" max="11" width="3.625" style="140" customWidth="1"/>
    <col min="12" max="16384" width="9.00390625" style="140" customWidth="1"/>
  </cols>
  <sheetData>
    <row r="1" spans="1:10" ht="15" customHeight="1" thickBot="1">
      <c r="A1" s="140" t="s">
        <v>125</v>
      </c>
      <c r="J1" s="155" t="s">
        <v>135</v>
      </c>
    </row>
    <row r="2" spans="1:10" s="141" customFormat="1" ht="15" customHeight="1" thickTop="1">
      <c r="A2" s="464" t="s">
        <v>90</v>
      </c>
      <c r="B2" s="466" t="s">
        <v>105</v>
      </c>
      <c r="C2" s="473" t="s">
        <v>126</v>
      </c>
      <c r="D2" s="474"/>
      <c r="E2" s="474"/>
      <c r="F2" s="475"/>
      <c r="G2" s="476" t="s">
        <v>127</v>
      </c>
      <c r="H2" s="478" t="s">
        <v>128</v>
      </c>
      <c r="I2" s="470" t="s">
        <v>129</v>
      </c>
      <c r="J2" s="468" t="s">
        <v>345</v>
      </c>
    </row>
    <row r="3" spans="1:10" s="141" customFormat="1" ht="15" customHeight="1">
      <c r="A3" s="465"/>
      <c r="B3" s="467"/>
      <c r="C3" s="163" t="s">
        <v>115</v>
      </c>
      <c r="D3" s="164" t="s">
        <v>130</v>
      </c>
      <c r="E3" s="165" t="s">
        <v>346</v>
      </c>
      <c r="F3" s="145" t="s">
        <v>131</v>
      </c>
      <c r="G3" s="477"/>
      <c r="H3" s="479"/>
      <c r="I3" s="471"/>
      <c r="J3" s="472"/>
    </row>
    <row r="4" spans="1:10" ht="15" customHeight="1">
      <c r="A4" s="135" t="s">
        <v>107</v>
      </c>
      <c r="B4" s="149">
        <v>282</v>
      </c>
      <c r="C4" s="166">
        <v>254</v>
      </c>
      <c r="D4" s="167">
        <v>58</v>
      </c>
      <c r="E4" s="167">
        <v>107</v>
      </c>
      <c r="F4" s="168">
        <v>89</v>
      </c>
      <c r="G4" s="149">
        <v>12</v>
      </c>
      <c r="H4" s="150">
        <v>13</v>
      </c>
      <c r="I4" s="149">
        <v>1</v>
      </c>
      <c r="J4" s="153">
        <v>2</v>
      </c>
    </row>
    <row r="5" spans="1:10" ht="15" customHeight="1">
      <c r="A5" s="138" t="s">
        <v>108</v>
      </c>
      <c r="B5" s="149">
        <v>232</v>
      </c>
      <c r="C5" s="166">
        <v>202</v>
      </c>
      <c r="D5" s="167">
        <v>48</v>
      </c>
      <c r="E5" s="167">
        <v>80</v>
      </c>
      <c r="F5" s="168">
        <v>74</v>
      </c>
      <c r="G5" s="149">
        <v>18</v>
      </c>
      <c r="H5" s="150">
        <v>9</v>
      </c>
      <c r="I5" s="149">
        <v>1</v>
      </c>
      <c r="J5" s="153">
        <v>2</v>
      </c>
    </row>
    <row r="6" spans="1:10" ht="15" customHeight="1">
      <c r="A6" s="138" t="s">
        <v>109</v>
      </c>
      <c r="B6" s="149">
        <v>234</v>
      </c>
      <c r="C6" s="166">
        <v>206</v>
      </c>
      <c r="D6" s="167">
        <v>46</v>
      </c>
      <c r="E6" s="167">
        <v>91</v>
      </c>
      <c r="F6" s="168">
        <v>69</v>
      </c>
      <c r="G6" s="149">
        <v>16</v>
      </c>
      <c r="H6" s="150">
        <v>10</v>
      </c>
      <c r="I6" s="169">
        <v>0</v>
      </c>
      <c r="J6" s="153">
        <v>2</v>
      </c>
    </row>
    <row r="7" spans="1:10" ht="15" customHeight="1">
      <c r="A7" s="138" t="s">
        <v>110</v>
      </c>
      <c r="B7" s="149">
        <v>210</v>
      </c>
      <c r="C7" s="166">
        <v>187</v>
      </c>
      <c r="D7" s="167">
        <v>49</v>
      </c>
      <c r="E7" s="167">
        <v>80</v>
      </c>
      <c r="F7" s="168">
        <v>58</v>
      </c>
      <c r="G7" s="149">
        <v>13</v>
      </c>
      <c r="H7" s="150">
        <v>8</v>
      </c>
      <c r="I7" s="169">
        <v>0</v>
      </c>
      <c r="J7" s="153">
        <v>2</v>
      </c>
    </row>
    <row r="8" spans="1:10" s="161" customFormat="1" ht="15" customHeight="1">
      <c r="A8" s="138" t="s">
        <v>111</v>
      </c>
      <c r="B8" s="149">
        <f>C8+G8+H8+I8+J8</f>
        <v>195</v>
      </c>
      <c r="C8" s="166">
        <f>SUM(D8:F8)</f>
        <v>179</v>
      </c>
      <c r="D8" s="167">
        <v>46</v>
      </c>
      <c r="E8" s="167">
        <v>75</v>
      </c>
      <c r="F8" s="168">
        <v>58</v>
      </c>
      <c r="G8" s="149">
        <v>8</v>
      </c>
      <c r="H8" s="150">
        <v>7</v>
      </c>
      <c r="I8" s="169">
        <v>0</v>
      </c>
      <c r="J8" s="153">
        <v>1</v>
      </c>
    </row>
    <row r="9" spans="1:10" ht="15" customHeight="1" thickBot="1">
      <c r="A9" s="321" t="s">
        <v>112</v>
      </c>
      <c r="B9" s="325">
        <f>C9+G9+H9+I9+J9</f>
        <v>186</v>
      </c>
      <c r="C9" s="329">
        <f>SUM(D9:F9)</f>
        <v>173</v>
      </c>
      <c r="D9" s="330">
        <v>42</v>
      </c>
      <c r="E9" s="330">
        <v>73</v>
      </c>
      <c r="F9" s="331">
        <v>58</v>
      </c>
      <c r="G9" s="332">
        <v>8</v>
      </c>
      <c r="H9" s="333">
        <v>5</v>
      </c>
      <c r="I9" s="334">
        <v>0</v>
      </c>
      <c r="J9" s="335">
        <v>0</v>
      </c>
    </row>
    <row r="19" ht="12" customHeight="1"/>
  </sheetData>
  <mergeCells count="7">
    <mergeCell ref="I2:I3"/>
    <mergeCell ref="J2:J3"/>
    <mergeCell ref="C2:F2"/>
    <mergeCell ref="A2:A3"/>
    <mergeCell ref="B2:B3"/>
    <mergeCell ref="G2:G3"/>
    <mergeCell ref="H2:H3"/>
  </mergeCells>
  <printOptions/>
  <pageMargins left="0.5905511811023623" right="0.1968503937007874" top="0.984251968503937" bottom="0.984251968503937" header="0.5118110236220472" footer="0.5118110236220472"/>
  <pageSetup horizontalDpi="400" verticalDpi="400" orientation="portrait" paperSize="9" scale="95" r:id="rId2"/>
  <headerFooter alignWithMargins="0">
    <oddHeader>&amp;R&amp;D&amp;T</oddHeader>
  </headerFooter>
  <drawing r:id="rId1"/>
</worksheet>
</file>

<file path=xl/worksheets/sheet13.xml><?xml version="1.0" encoding="utf-8"?>
<worksheet xmlns="http://schemas.openxmlformats.org/spreadsheetml/2006/main" xmlns:r="http://schemas.openxmlformats.org/officeDocument/2006/relationships">
  <sheetPr codeName="Sheet3"/>
  <dimension ref="A1:O64"/>
  <sheetViews>
    <sheetView workbookViewId="0" topLeftCell="A1">
      <selection activeCell="A1" sqref="A1"/>
    </sheetView>
  </sheetViews>
  <sheetFormatPr defaultColWidth="9.00390625" defaultRowHeight="13.5"/>
  <cols>
    <col min="1" max="1" width="9.625" style="172" customWidth="1"/>
    <col min="2" max="2" width="8.375" style="172" customWidth="1"/>
    <col min="3" max="3" width="6.875" style="111" customWidth="1"/>
    <col min="4" max="5" width="8.125" style="111" customWidth="1"/>
    <col min="6" max="6" width="6.375" style="111" customWidth="1"/>
    <col min="7" max="12" width="5.625" style="111" customWidth="1"/>
    <col min="13" max="13" width="7.00390625" style="111" customWidth="1"/>
    <col min="14" max="15" width="5.625" style="111" customWidth="1"/>
    <col min="16" max="16384" width="9.00390625" style="172" customWidth="1"/>
  </cols>
  <sheetData>
    <row r="1" spans="1:2" ht="16.5" customHeight="1">
      <c r="A1" s="112" t="s">
        <v>347</v>
      </c>
      <c r="B1" s="111"/>
    </row>
    <row r="2" spans="1:15" ht="12.75" thickBot="1">
      <c r="A2" s="173"/>
      <c r="B2" s="173"/>
      <c r="C2" s="174"/>
      <c r="D2" s="174"/>
      <c r="E2" s="174"/>
      <c r="F2" s="174"/>
      <c r="G2" s="174"/>
      <c r="H2" s="174"/>
      <c r="I2" s="174"/>
      <c r="J2" s="174"/>
      <c r="K2" s="174"/>
      <c r="L2" s="174"/>
      <c r="M2" s="174"/>
      <c r="N2" s="174"/>
      <c r="O2" s="175" t="s">
        <v>375</v>
      </c>
    </row>
    <row r="3" spans="1:15" ht="27" customHeight="1" thickTop="1">
      <c r="A3" s="176" t="s">
        <v>137</v>
      </c>
      <c r="B3" s="177" t="s">
        <v>138</v>
      </c>
      <c r="C3" s="178" t="s">
        <v>169</v>
      </c>
      <c r="D3" s="179" t="s">
        <v>348</v>
      </c>
      <c r="E3" s="179" t="s">
        <v>349</v>
      </c>
      <c r="F3" s="178" t="s">
        <v>350</v>
      </c>
      <c r="G3" s="180" t="s">
        <v>351</v>
      </c>
      <c r="H3" s="178" t="s">
        <v>352</v>
      </c>
      <c r="I3" s="178" t="s">
        <v>353</v>
      </c>
      <c r="J3" s="178" t="s">
        <v>354</v>
      </c>
      <c r="K3" s="178" t="s">
        <v>355</v>
      </c>
      <c r="L3" s="178" t="s">
        <v>356</v>
      </c>
      <c r="M3" s="180" t="s">
        <v>357</v>
      </c>
      <c r="N3" s="180" t="s">
        <v>358</v>
      </c>
      <c r="O3" s="181" t="s">
        <v>359</v>
      </c>
    </row>
    <row r="4" spans="1:15" ht="9.75" customHeight="1">
      <c r="A4" s="182"/>
      <c r="B4" s="183"/>
      <c r="C4" s="184"/>
      <c r="D4" s="185"/>
      <c r="E4" s="185"/>
      <c r="F4" s="184"/>
      <c r="G4" s="186"/>
      <c r="H4" s="184"/>
      <c r="I4" s="184"/>
      <c r="J4" s="184"/>
      <c r="K4" s="184"/>
      <c r="L4" s="184"/>
      <c r="M4" s="186"/>
      <c r="N4" s="186"/>
      <c r="O4" s="187"/>
    </row>
    <row r="5" spans="1:15" ht="15" customHeight="1">
      <c r="A5" s="188" t="s">
        <v>139</v>
      </c>
      <c r="B5" s="189">
        <v>409548</v>
      </c>
      <c r="C5" s="189">
        <v>317648</v>
      </c>
      <c r="D5" s="189">
        <v>79073</v>
      </c>
      <c r="E5" s="189">
        <v>1006</v>
      </c>
      <c r="F5" s="189">
        <v>1227</v>
      </c>
      <c r="G5" s="189">
        <v>24</v>
      </c>
      <c r="H5" s="189">
        <v>6</v>
      </c>
      <c r="I5" s="189">
        <v>141</v>
      </c>
      <c r="J5" s="189">
        <v>4645</v>
      </c>
      <c r="K5" s="189">
        <v>1545</v>
      </c>
      <c r="L5" s="189">
        <v>57</v>
      </c>
      <c r="M5" s="189">
        <v>53</v>
      </c>
      <c r="N5" s="189">
        <v>4035</v>
      </c>
      <c r="O5" s="190">
        <v>88</v>
      </c>
    </row>
    <row r="6" spans="1:15" s="191" customFormat="1" ht="15" customHeight="1">
      <c r="A6" s="336" t="s">
        <v>360</v>
      </c>
      <c r="B6" s="337">
        <f aca="true" t="shared" si="0" ref="B6:O6">SUM(B8:B11)</f>
        <v>409831</v>
      </c>
      <c r="C6" s="337">
        <f t="shared" si="0"/>
        <v>317725</v>
      </c>
      <c r="D6" s="337">
        <f t="shared" si="0"/>
        <v>79241</v>
      </c>
      <c r="E6" s="337">
        <f t="shared" si="0"/>
        <v>1007</v>
      </c>
      <c r="F6" s="337">
        <f t="shared" si="0"/>
        <v>1238</v>
      </c>
      <c r="G6" s="337">
        <f t="shared" si="0"/>
        <v>24</v>
      </c>
      <c r="H6" s="337">
        <f t="shared" si="0"/>
        <v>6</v>
      </c>
      <c r="I6" s="337">
        <f t="shared" si="0"/>
        <v>141</v>
      </c>
      <c r="J6" s="337">
        <f t="shared" si="0"/>
        <v>4668</v>
      </c>
      <c r="K6" s="337">
        <f t="shared" si="0"/>
        <v>1548</v>
      </c>
      <c r="L6" s="337">
        <f t="shared" si="0"/>
        <v>57</v>
      </c>
      <c r="M6" s="337">
        <f t="shared" si="0"/>
        <v>53</v>
      </c>
      <c r="N6" s="337">
        <f t="shared" si="0"/>
        <v>4035</v>
      </c>
      <c r="O6" s="338">
        <f t="shared" si="0"/>
        <v>88</v>
      </c>
    </row>
    <row r="7" spans="1:15" s="193" customFormat="1" ht="9.75" customHeight="1">
      <c r="A7" s="192"/>
      <c r="B7" s="339"/>
      <c r="C7" s="337"/>
      <c r="D7" s="337"/>
      <c r="E7" s="337"/>
      <c r="F7" s="337"/>
      <c r="G7" s="337"/>
      <c r="H7" s="337"/>
      <c r="I7" s="337"/>
      <c r="J7" s="337"/>
      <c r="K7" s="337"/>
      <c r="L7" s="337"/>
      <c r="M7" s="337"/>
      <c r="N7" s="337"/>
      <c r="O7" s="338"/>
    </row>
    <row r="8" spans="1:15" s="193" customFormat="1" ht="13.5" customHeight="1">
      <c r="A8" s="194" t="s">
        <v>0</v>
      </c>
      <c r="B8" s="340">
        <f aca="true" t="shared" si="1" ref="B8:O8">B13+B28+B29+B30+B32+B33+B34+B36+B37+B38+B39+B40+B41+B42</f>
        <v>91900</v>
      </c>
      <c r="C8" s="341">
        <f t="shared" si="1"/>
        <v>59507</v>
      </c>
      <c r="D8" s="341">
        <f t="shared" si="1"/>
        <v>29376</v>
      </c>
      <c r="E8" s="341">
        <f t="shared" si="1"/>
        <v>467</v>
      </c>
      <c r="F8" s="341">
        <f t="shared" si="1"/>
        <v>0</v>
      </c>
      <c r="G8" s="341">
        <f t="shared" si="1"/>
        <v>3</v>
      </c>
      <c r="H8" s="341">
        <f t="shared" si="1"/>
        <v>0</v>
      </c>
      <c r="I8" s="341">
        <f t="shared" si="1"/>
        <v>0</v>
      </c>
      <c r="J8" s="341">
        <f t="shared" si="1"/>
        <v>1218</v>
      </c>
      <c r="K8" s="341">
        <f t="shared" si="1"/>
        <v>162</v>
      </c>
      <c r="L8" s="341">
        <f t="shared" si="1"/>
        <v>35</v>
      </c>
      <c r="M8" s="341">
        <f t="shared" si="1"/>
        <v>0</v>
      </c>
      <c r="N8" s="341">
        <f t="shared" si="1"/>
        <v>1132</v>
      </c>
      <c r="O8" s="342">
        <f t="shared" si="1"/>
        <v>0</v>
      </c>
    </row>
    <row r="9" spans="1:15" s="193" customFormat="1" ht="13.5" customHeight="1">
      <c r="A9" s="194" t="s">
        <v>1</v>
      </c>
      <c r="B9" s="340">
        <f aca="true" t="shared" si="2" ref="B9:O9">B27+B43+B44+B45+B46+B47+B48+B49</f>
        <v>105832</v>
      </c>
      <c r="C9" s="341">
        <f t="shared" si="2"/>
        <v>85771</v>
      </c>
      <c r="D9" s="341">
        <f t="shared" si="2"/>
        <v>16520</v>
      </c>
      <c r="E9" s="341">
        <f t="shared" si="2"/>
        <v>306</v>
      </c>
      <c r="F9" s="341">
        <f t="shared" si="2"/>
        <v>0</v>
      </c>
      <c r="G9" s="341">
        <f t="shared" si="2"/>
        <v>2</v>
      </c>
      <c r="H9" s="341">
        <f t="shared" si="2"/>
        <v>6</v>
      </c>
      <c r="I9" s="341">
        <f t="shared" si="2"/>
        <v>0</v>
      </c>
      <c r="J9" s="341">
        <f t="shared" si="2"/>
        <v>1440</v>
      </c>
      <c r="K9" s="341">
        <f t="shared" si="2"/>
        <v>1104</v>
      </c>
      <c r="L9" s="341">
        <f t="shared" si="2"/>
        <v>1</v>
      </c>
      <c r="M9" s="341">
        <f t="shared" si="2"/>
        <v>0</v>
      </c>
      <c r="N9" s="341">
        <f t="shared" si="2"/>
        <v>682</v>
      </c>
      <c r="O9" s="342">
        <f t="shared" si="2"/>
        <v>0</v>
      </c>
    </row>
    <row r="10" spans="1:15" s="193" customFormat="1" ht="13.5" customHeight="1">
      <c r="A10" s="194" t="s">
        <v>2</v>
      </c>
      <c r="B10" s="340">
        <f aca="true" t="shared" si="3" ref="B10:O10">B14+B31+B35+B50+B51+B52+B53+B54</f>
        <v>109823</v>
      </c>
      <c r="C10" s="341">
        <f t="shared" si="3"/>
        <v>84937</v>
      </c>
      <c r="D10" s="341">
        <f t="shared" si="3"/>
        <v>23458</v>
      </c>
      <c r="E10" s="341">
        <f t="shared" si="3"/>
        <v>109</v>
      </c>
      <c r="F10" s="341">
        <f t="shared" si="3"/>
        <v>0</v>
      </c>
      <c r="G10" s="341">
        <f t="shared" si="3"/>
        <v>0</v>
      </c>
      <c r="H10" s="341">
        <f t="shared" si="3"/>
        <v>0</v>
      </c>
      <c r="I10" s="341">
        <f t="shared" si="3"/>
        <v>0</v>
      </c>
      <c r="J10" s="341">
        <f t="shared" si="3"/>
        <v>1055</v>
      </c>
      <c r="K10" s="341">
        <f t="shared" si="3"/>
        <v>193</v>
      </c>
      <c r="L10" s="341">
        <f t="shared" si="3"/>
        <v>0</v>
      </c>
      <c r="M10" s="341">
        <f t="shared" si="3"/>
        <v>0</v>
      </c>
      <c r="N10" s="341">
        <f t="shared" si="3"/>
        <v>45</v>
      </c>
      <c r="O10" s="342">
        <f t="shared" si="3"/>
        <v>26</v>
      </c>
    </row>
    <row r="11" spans="1:15" s="193" customFormat="1" ht="13.5" customHeight="1">
      <c r="A11" s="194" t="s">
        <v>3</v>
      </c>
      <c r="B11" s="340">
        <f aca="true" t="shared" si="4" ref="B11:O11">B16+B23+B56+B57+B17+B18+B19+B58+B20+B21+B59+B24+B25+B26</f>
        <v>102276</v>
      </c>
      <c r="C11" s="341">
        <f t="shared" si="4"/>
        <v>87510</v>
      </c>
      <c r="D11" s="341">
        <f t="shared" si="4"/>
        <v>9887</v>
      </c>
      <c r="E11" s="341">
        <f t="shared" si="4"/>
        <v>125</v>
      </c>
      <c r="F11" s="341">
        <f t="shared" si="4"/>
        <v>1238</v>
      </c>
      <c r="G11" s="341">
        <f t="shared" si="4"/>
        <v>19</v>
      </c>
      <c r="H11" s="341">
        <f t="shared" si="4"/>
        <v>0</v>
      </c>
      <c r="I11" s="341">
        <f t="shared" si="4"/>
        <v>141</v>
      </c>
      <c r="J11" s="341">
        <f t="shared" si="4"/>
        <v>955</v>
      </c>
      <c r="K11" s="341">
        <f t="shared" si="4"/>
        <v>89</v>
      </c>
      <c r="L11" s="341">
        <f t="shared" si="4"/>
        <v>21</v>
      </c>
      <c r="M11" s="341">
        <f t="shared" si="4"/>
        <v>53</v>
      </c>
      <c r="N11" s="341">
        <f t="shared" si="4"/>
        <v>2176</v>
      </c>
      <c r="O11" s="342">
        <f t="shared" si="4"/>
        <v>62</v>
      </c>
    </row>
    <row r="12" spans="1:15" ht="9.75" customHeight="1">
      <c r="A12" s="195"/>
      <c r="B12" s="343"/>
      <c r="C12" s="189"/>
      <c r="D12" s="189"/>
      <c r="E12" s="189"/>
      <c r="F12" s="189"/>
      <c r="G12" s="189"/>
      <c r="H12" s="189"/>
      <c r="I12" s="189"/>
      <c r="J12" s="189"/>
      <c r="K12" s="189"/>
      <c r="L12" s="189"/>
      <c r="M12" s="189"/>
      <c r="N12" s="189"/>
      <c r="O12" s="190"/>
    </row>
    <row r="13" spans="1:15" ht="13.5" customHeight="1">
      <c r="A13" s="196" t="s">
        <v>140</v>
      </c>
      <c r="B13" s="344">
        <f aca="true" t="shared" si="5" ref="B13:B59">SUM(C13:O13)</f>
        <v>10518</v>
      </c>
      <c r="C13" s="345">
        <f>7332+1046</f>
        <v>8378</v>
      </c>
      <c r="D13" s="345">
        <f>823+1152</f>
        <v>1975</v>
      </c>
      <c r="E13" s="345">
        <f>1+37</f>
        <v>38</v>
      </c>
      <c r="F13" s="345">
        <f>0+0</f>
        <v>0</v>
      </c>
      <c r="G13" s="345">
        <f>0+1</f>
        <v>1</v>
      </c>
      <c r="H13" s="345">
        <f>0+0</f>
        <v>0</v>
      </c>
      <c r="I13" s="345">
        <f>0+0</f>
        <v>0</v>
      </c>
      <c r="J13" s="345">
        <f>0+57</f>
        <v>57</v>
      </c>
      <c r="K13" s="345">
        <f>6+1</f>
        <v>7</v>
      </c>
      <c r="L13" s="345">
        <f>0+8</f>
        <v>8</v>
      </c>
      <c r="M13" s="345">
        <f>0+0</f>
        <v>0</v>
      </c>
      <c r="N13" s="345">
        <f>0+54</f>
        <v>54</v>
      </c>
      <c r="O13" s="346">
        <f>0+0</f>
        <v>0</v>
      </c>
    </row>
    <row r="14" spans="1:15" ht="13.5" customHeight="1">
      <c r="A14" s="196" t="s">
        <v>141</v>
      </c>
      <c r="B14" s="344">
        <f t="shared" si="5"/>
        <v>20880</v>
      </c>
      <c r="C14" s="345">
        <f>8001+7719</f>
        <v>15720</v>
      </c>
      <c r="D14" s="345">
        <f>1386+3585</f>
        <v>4971</v>
      </c>
      <c r="E14" s="345">
        <f>0+46</f>
        <v>46</v>
      </c>
      <c r="F14" s="345">
        <f>0+0</f>
        <v>0</v>
      </c>
      <c r="G14" s="345">
        <f>0+0</f>
        <v>0</v>
      </c>
      <c r="H14" s="345">
        <f>0+0</f>
        <v>0</v>
      </c>
      <c r="I14" s="345">
        <f>0+0</f>
        <v>0</v>
      </c>
      <c r="J14" s="345">
        <f>0+86</f>
        <v>86</v>
      </c>
      <c r="K14" s="345">
        <f>0+57</f>
        <v>57</v>
      </c>
      <c r="L14" s="345">
        <f>0+0</f>
        <v>0</v>
      </c>
      <c r="M14" s="345">
        <f>0+0</f>
        <v>0</v>
      </c>
      <c r="N14" s="345">
        <f>0+0</f>
        <v>0</v>
      </c>
      <c r="O14" s="346">
        <f>0+0</f>
        <v>0</v>
      </c>
    </row>
    <row r="15" spans="1:15" ht="13.5" customHeight="1">
      <c r="A15" s="196" t="s">
        <v>170</v>
      </c>
      <c r="B15" s="344">
        <f t="shared" si="5"/>
        <v>59545</v>
      </c>
      <c r="C15" s="345">
        <f aca="true" t="shared" si="6" ref="C15:O15">+C16+C17+C18+C19+C20+C21</f>
        <v>49086</v>
      </c>
      <c r="D15" s="345">
        <f t="shared" si="6"/>
        <v>8514</v>
      </c>
      <c r="E15" s="345">
        <f t="shared" si="6"/>
        <v>97</v>
      </c>
      <c r="F15" s="345">
        <f t="shared" si="6"/>
        <v>131</v>
      </c>
      <c r="G15" s="345">
        <f t="shared" si="6"/>
        <v>0</v>
      </c>
      <c r="H15" s="345">
        <f t="shared" si="6"/>
        <v>0</v>
      </c>
      <c r="I15" s="345">
        <f t="shared" si="6"/>
        <v>0</v>
      </c>
      <c r="J15" s="345">
        <f t="shared" si="6"/>
        <v>508</v>
      </c>
      <c r="K15" s="345">
        <f t="shared" si="6"/>
        <v>76</v>
      </c>
      <c r="L15" s="345">
        <f t="shared" si="6"/>
        <v>20</v>
      </c>
      <c r="M15" s="345">
        <f t="shared" si="6"/>
        <v>53</v>
      </c>
      <c r="N15" s="345">
        <f t="shared" si="6"/>
        <v>1038</v>
      </c>
      <c r="O15" s="346">
        <f t="shared" si="6"/>
        <v>22</v>
      </c>
    </row>
    <row r="16" spans="1:15" ht="13.5" customHeight="1">
      <c r="A16" s="197" t="s">
        <v>171</v>
      </c>
      <c r="B16" s="344">
        <f t="shared" si="5"/>
        <v>1675</v>
      </c>
      <c r="C16" s="345">
        <f>241+202</f>
        <v>443</v>
      </c>
      <c r="D16" s="345">
        <f>0+767</f>
        <v>767</v>
      </c>
      <c r="E16" s="345">
        <v>11</v>
      </c>
      <c r="F16" s="345">
        <f>47+84</f>
        <v>131</v>
      </c>
      <c r="G16" s="345">
        <f aca="true" t="shared" si="7" ref="G16:I21">0+0</f>
        <v>0</v>
      </c>
      <c r="H16" s="345">
        <f t="shared" si="7"/>
        <v>0</v>
      </c>
      <c r="I16" s="345">
        <f t="shared" si="7"/>
        <v>0</v>
      </c>
      <c r="J16" s="345">
        <f>183+35</f>
        <v>218</v>
      </c>
      <c r="K16" s="345">
        <f>0+15</f>
        <v>15</v>
      </c>
      <c r="L16" s="345">
        <f>1+18</f>
        <v>19</v>
      </c>
      <c r="M16" s="345">
        <f>0+53</f>
        <v>53</v>
      </c>
      <c r="N16" s="345">
        <f>0+0</f>
        <v>0</v>
      </c>
      <c r="O16" s="346">
        <f>0+18</f>
        <v>18</v>
      </c>
    </row>
    <row r="17" spans="1:15" ht="13.5" customHeight="1">
      <c r="A17" s="197" t="s">
        <v>172</v>
      </c>
      <c r="B17" s="344">
        <f t="shared" si="5"/>
        <v>290</v>
      </c>
      <c r="C17" s="345">
        <f>213+0</f>
        <v>213</v>
      </c>
      <c r="D17" s="345">
        <f>0+0</f>
        <v>0</v>
      </c>
      <c r="E17" s="345">
        <f>0+0</f>
        <v>0</v>
      </c>
      <c r="F17" s="345">
        <f>0+0</f>
        <v>0</v>
      </c>
      <c r="G17" s="345">
        <f t="shared" si="7"/>
        <v>0</v>
      </c>
      <c r="H17" s="345">
        <f t="shared" si="7"/>
        <v>0</v>
      </c>
      <c r="I17" s="345">
        <f t="shared" si="7"/>
        <v>0</v>
      </c>
      <c r="J17" s="345">
        <f>77+0</f>
        <v>77</v>
      </c>
      <c r="K17" s="345">
        <f aca="true" t="shared" si="8" ref="K17:M19">0+0</f>
        <v>0</v>
      </c>
      <c r="L17" s="345">
        <f t="shared" si="8"/>
        <v>0</v>
      </c>
      <c r="M17" s="345">
        <f t="shared" si="8"/>
        <v>0</v>
      </c>
      <c r="N17" s="345">
        <f>0+0</f>
        <v>0</v>
      </c>
      <c r="O17" s="346">
        <f>0+0</f>
        <v>0</v>
      </c>
    </row>
    <row r="18" spans="1:15" ht="13.5" customHeight="1">
      <c r="A18" s="197" t="s">
        <v>173</v>
      </c>
      <c r="B18" s="344">
        <f t="shared" si="5"/>
        <v>2748</v>
      </c>
      <c r="C18" s="345">
        <f>2072+82</f>
        <v>2154</v>
      </c>
      <c r="D18" s="345">
        <f>0+1</f>
        <v>1</v>
      </c>
      <c r="E18" s="345">
        <f>0+2</f>
        <v>2</v>
      </c>
      <c r="F18" s="345">
        <f>0+0</f>
        <v>0</v>
      </c>
      <c r="G18" s="345">
        <f t="shared" si="7"/>
        <v>0</v>
      </c>
      <c r="H18" s="345">
        <f t="shared" si="7"/>
        <v>0</v>
      </c>
      <c r="I18" s="345">
        <f t="shared" si="7"/>
        <v>0</v>
      </c>
      <c r="J18" s="345">
        <f>0+11</f>
        <v>11</v>
      </c>
      <c r="K18" s="345">
        <f t="shared" si="8"/>
        <v>0</v>
      </c>
      <c r="L18" s="345">
        <f t="shared" si="8"/>
        <v>0</v>
      </c>
      <c r="M18" s="345">
        <f t="shared" si="8"/>
        <v>0</v>
      </c>
      <c r="N18" s="345">
        <f>0+576</f>
        <v>576</v>
      </c>
      <c r="O18" s="346">
        <f>0+4</f>
        <v>4</v>
      </c>
    </row>
    <row r="19" spans="1:15" ht="13.5" customHeight="1">
      <c r="A19" s="197" t="s">
        <v>174</v>
      </c>
      <c r="B19" s="344">
        <f t="shared" si="5"/>
        <v>2020</v>
      </c>
      <c r="C19" s="345">
        <f>1649+79</f>
        <v>1728</v>
      </c>
      <c r="D19" s="345">
        <f>0+277</f>
        <v>277</v>
      </c>
      <c r="E19" s="345">
        <f>0+0</f>
        <v>0</v>
      </c>
      <c r="F19" s="345">
        <f>0+0</f>
        <v>0</v>
      </c>
      <c r="G19" s="345">
        <f t="shared" si="7"/>
        <v>0</v>
      </c>
      <c r="H19" s="345">
        <f t="shared" si="7"/>
        <v>0</v>
      </c>
      <c r="I19" s="345">
        <f t="shared" si="7"/>
        <v>0</v>
      </c>
      <c r="J19" s="345">
        <f>0+15</f>
        <v>15</v>
      </c>
      <c r="K19" s="345">
        <f t="shared" si="8"/>
        <v>0</v>
      </c>
      <c r="L19" s="345">
        <f t="shared" si="8"/>
        <v>0</v>
      </c>
      <c r="M19" s="345">
        <f t="shared" si="8"/>
        <v>0</v>
      </c>
      <c r="N19" s="345">
        <f>0+0</f>
        <v>0</v>
      </c>
      <c r="O19" s="346">
        <f>0+0</f>
        <v>0</v>
      </c>
    </row>
    <row r="20" spans="1:15" ht="13.5" customHeight="1">
      <c r="A20" s="197" t="s">
        <v>175</v>
      </c>
      <c r="B20" s="344">
        <f t="shared" si="5"/>
        <v>43532</v>
      </c>
      <c r="C20" s="345">
        <f>37159+62+1115</f>
        <v>38336</v>
      </c>
      <c r="D20" s="345">
        <f>886+3588</f>
        <v>4474</v>
      </c>
      <c r="E20" s="345">
        <f>54+2</f>
        <v>56</v>
      </c>
      <c r="F20" s="345">
        <f>0+0</f>
        <v>0</v>
      </c>
      <c r="G20" s="345">
        <f t="shared" si="7"/>
        <v>0</v>
      </c>
      <c r="H20" s="345">
        <f t="shared" si="7"/>
        <v>0</v>
      </c>
      <c r="I20" s="345">
        <f t="shared" si="7"/>
        <v>0</v>
      </c>
      <c r="J20" s="345">
        <f>187+0</f>
        <v>187</v>
      </c>
      <c r="K20" s="345">
        <f>0+16</f>
        <v>16</v>
      </c>
      <c r="L20" s="345">
        <f>0+1</f>
        <v>1</v>
      </c>
      <c r="M20" s="345">
        <f>0+0</f>
        <v>0</v>
      </c>
      <c r="N20" s="345">
        <f>109+353</f>
        <v>462</v>
      </c>
      <c r="O20" s="346">
        <f>0+0</f>
        <v>0</v>
      </c>
    </row>
    <row r="21" spans="1:15" ht="13.5" customHeight="1">
      <c r="A21" s="197" t="s">
        <v>176</v>
      </c>
      <c r="B21" s="344">
        <f t="shared" si="5"/>
        <v>9280</v>
      </c>
      <c r="C21" s="345">
        <f>6174+38</f>
        <v>6212</v>
      </c>
      <c r="D21" s="345">
        <f>341+2654</f>
        <v>2995</v>
      </c>
      <c r="E21" s="345">
        <f>0+28</f>
        <v>28</v>
      </c>
      <c r="F21" s="345">
        <f>0+0</f>
        <v>0</v>
      </c>
      <c r="G21" s="345">
        <f t="shared" si="7"/>
        <v>0</v>
      </c>
      <c r="H21" s="345">
        <f t="shared" si="7"/>
        <v>0</v>
      </c>
      <c r="I21" s="345">
        <f t="shared" si="7"/>
        <v>0</v>
      </c>
      <c r="J21" s="345">
        <f>0+0</f>
        <v>0</v>
      </c>
      <c r="K21" s="345">
        <f>4+41</f>
        <v>45</v>
      </c>
      <c r="L21" s="345">
        <f>0+0</f>
        <v>0</v>
      </c>
      <c r="M21" s="345">
        <f>0+0</f>
        <v>0</v>
      </c>
      <c r="N21" s="345">
        <f>0+0</f>
        <v>0</v>
      </c>
      <c r="O21" s="346">
        <f>0+0</f>
        <v>0</v>
      </c>
    </row>
    <row r="22" spans="1:15" ht="13.5" customHeight="1">
      <c r="A22" s="196" t="s">
        <v>142</v>
      </c>
      <c r="B22" s="344">
        <f t="shared" si="5"/>
        <v>22990</v>
      </c>
      <c r="C22" s="345">
        <f aca="true" t="shared" si="9" ref="C22:O22">+C23+C24+C25+C26</f>
        <v>21125</v>
      </c>
      <c r="D22" s="345">
        <f t="shared" si="9"/>
        <v>664</v>
      </c>
      <c r="E22" s="345">
        <f t="shared" si="9"/>
        <v>17</v>
      </c>
      <c r="F22" s="345">
        <f t="shared" si="9"/>
        <v>599</v>
      </c>
      <c r="G22" s="345">
        <f t="shared" si="9"/>
        <v>5</v>
      </c>
      <c r="H22" s="345">
        <f t="shared" si="9"/>
        <v>0</v>
      </c>
      <c r="I22" s="345">
        <f t="shared" si="9"/>
        <v>132</v>
      </c>
      <c r="J22" s="345">
        <f t="shared" si="9"/>
        <v>400</v>
      </c>
      <c r="K22" s="345">
        <f t="shared" si="9"/>
        <v>0</v>
      </c>
      <c r="L22" s="345">
        <f t="shared" si="9"/>
        <v>0</v>
      </c>
      <c r="M22" s="345">
        <f t="shared" si="9"/>
        <v>0</v>
      </c>
      <c r="N22" s="345">
        <f t="shared" si="9"/>
        <v>8</v>
      </c>
      <c r="O22" s="346">
        <f t="shared" si="9"/>
        <v>40</v>
      </c>
    </row>
    <row r="23" spans="1:15" ht="13.5" customHeight="1">
      <c r="A23" s="197" t="s">
        <v>177</v>
      </c>
      <c r="B23" s="344">
        <f t="shared" si="5"/>
        <v>864</v>
      </c>
      <c r="C23" s="345">
        <f>0+0</f>
        <v>0</v>
      </c>
      <c r="D23" s="345">
        <f>0+3</f>
        <v>3</v>
      </c>
      <c r="E23" s="345">
        <f>0+0</f>
        <v>0</v>
      </c>
      <c r="F23" s="345">
        <f>358+241</f>
        <v>599</v>
      </c>
      <c r="G23" s="345">
        <f>0+5</f>
        <v>5</v>
      </c>
      <c r="H23" s="345">
        <f aca="true" t="shared" si="10" ref="H23:H43">0+0</f>
        <v>0</v>
      </c>
      <c r="I23" s="345">
        <f>131+1</f>
        <v>132</v>
      </c>
      <c r="J23" s="345">
        <f>0+117</f>
        <v>117</v>
      </c>
      <c r="K23" s="345">
        <f aca="true" t="shared" si="11" ref="K23:M27">0+0</f>
        <v>0</v>
      </c>
      <c r="L23" s="345">
        <f t="shared" si="11"/>
        <v>0</v>
      </c>
      <c r="M23" s="345">
        <f t="shared" si="11"/>
        <v>0</v>
      </c>
      <c r="N23" s="345">
        <f>0+8</f>
        <v>8</v>
      </c>
      <c r="O23" s="346">
        <f>0+0</f>
        <v>0</v>
      </c>
    </row>
    <row r="24" spans="1:15" ht="13.5" customHeight="1">
      <c r="A24" s="197" t="s">
        <v>178</v>
      </c>
      <c r="B24" s="344">
        <f t="shared" si="5"/>
        <v>12026</v>
      </c>
      <c r="C24" s="345">
        <f>11579+76</f>
        <v>11655</v>
      </c>
      <c r="D24" s="345">
        <f>0+266</f>
        <v>266</v>
      </c>
      <c r="E24" s="345">
        <f>0+2</f>
        <v>2</v>
      </c>
      <c r="F24" s="345">
        <f aca="true" t="shared" si="12" ref="F24:G28">0+0</f>
        <v>0</v>
      </c>
      <c r="G24" s="345">
        <f t="shared" si="12"/>
        <v>0</v>
      </c>
      <c r="H24" s="345">
        <f t="shared" si="10"/>
        <v>0</v>
      </c>
      <c r="I24" s="345">
        <f aca="true" t="shared" si="13" ref="I24:I54">0+0</f>
        <v>0</v>
      </c>
      <c r="J24" s="345">
        <f>64+39</f>
        <v>103</v>
      </c>
      <c r="K24" s="345">
        <f t="shared" si="11"/>
        <v>0</v>
      </c>
      <c r="L24" s="345">
        <f t="shared" si="11"/>
        <v>0</v>
      </c>
      <c r="M24" s="345">
        <f t="shared" si="11"/>
        <v>0</v>
      </c>
      <c r="N24" s="345">
        <f>0+0</f>
        <v>0</v>
      </c>
      <c r="O24" s="346">
        <f>0+0</f>
        <v>0</v>
      </c>
    </row>
    <row r="25" spans="1:15" ht="13.5" customHeight="1">
      <c r="A25" s="197" t="s">
        <v>179</v>
      </c>
      <c r="B25" s="344">
        <f t="shared" si="5"/>
        <v>397</v>
      </c>
      <c r="C25" s="345">
        <f>198+0</f>
        <v>198</v>
      </c>
      <c r="D25" s="345">
        <f>0+151</f>
        <v>151</v>
      </c>
      <c r="E25" s="345">
        <f>0+13</f>
        <v>13</v>
      </c>
      <c r="F25" s="345">
        <f t="shared" si="12"/>
        <v>0</v>
      </c>
      <c r="G25" s="345">
        <f t="shared" si="12"/>
        <v>0</v>
      </c>
      <c r="H25" s="345">
        <f t="shared" si="10"/>
        <v>0</v>
      </c>
      <c r="I25" s="345">
        <f t="shared" si="13"/>
        <v>0</v>
      </c>
      <c r="J25" s="345">
        <f>0+35</f>
        <v>35</v>
      </c>
      <c r="K25" s="345">
        <f t="shared" si="11"/>
        <v>0</v>
      </c>
      <c r="L25" s="345">
        <f t="shared" si="11"/>
        <v>0</v>
      </c>
      <c r="M25" s="345">
        <f t="shared" si="11"/>
        <v>0</v>
      </c>
      <c r="N25" s="345">
        <f>0+0</f>
        <v>0</v>
      </c>
      <c r="O25" s="346">
        <f>0+0</f>
        <v>0</v>
      </c>
    </row>
    <row r="26" spans="1:15" ht="13.5" customHeight="1">
      <c r="A26" s="197" t="s">
        <v>180</v>
      </c>
      <c r="B26" s="344">
        <f t="shared" si="5"/>
        <v>9703</v>
      </c>
      <c r="C26" s="345">
        <f>9241+31</f>
        <v>9272</v>
      </c>
      <c r="D26" s="345">
        <f>0+244</f>
        <v>244</v>
      </c>
      <c r="E26" s="345">
        <f>0+2</f>
        <v>2</v>
      </c>
      <c r="F26" s="345">
        <f t="shared" si="12"/>
        <v>0</v>
      </c>
      <c r="G26" s="345">
        <f t="shared" si="12"/>
        <v>0</v>
      </c>
      <c r="H26" s="345">
        <f t="shared" si="10"/>
        <v>0</v>
      </c>
      <c r="I26" s="345">
        <f t="shared" si="13"/>
        <v>0</v>
      </c>
      <c r="J26" s="345">
        <f>145+0</f>
        <v>145</v>
      </c>
      <c r="K26" s="345">
        <f t="shared" si="11"/>
        <v>0</v>
      </c>
      <c r="L26" s="345">
        <f t="shared" si="11"/>
        <v>0</v>
      </c>
      <c r="M26" s="345">
        <f t="shared" si="11"/>
        <v>0</v>
      </c>
      <c r="N26" s="345">
        <f>0+0</f>
        <v>0</v>
      </c>
      <c r="O26" s="346">
        <f>40+0</f>
        <v>40</v>
      </c>
    </row>
    <row r="27" spans="1:15" ht="13.5" customHeight="1">
      <c r="A27" s="196" t="s">
        <v>143</v>
      </c>
      <c r="B27" s="344">
        <f t="shared" si="5"/>
        <v>7740</v>
      </c>
      <c r="C27" s="345">
        <f>7575+0</f>
        <v>7575</v>
      </c>
      <c r="D27" s="345">
        <f>0+60</f>
        <v>60</v>
      </c>
      <c r="E27" s="345">
        <f>0+3</f>
        <v>3</v>
      </c>
      <c r="F27" s="345">
        <f t="shared" si="12"/>
        <v>0</v>
      </c>
      <c r="G27" s="345">
        <f t="shared" si="12"/>
        <v>0</v>
      </c>
      <c r="H27" s="345">
        <f t="shared" si="10"/>
        <v>0</v>
      </c>
      <c r="I27" s="345">
        <f t="shared" si="13"/>
        <v>0</v>
      </c>
      <c r="J27" s="345">
        <f>0+49</f>
        <v>49</v>
      </c>
      <c r="K27" s="345">
        <f t="shared" si="11"/>
        <v>0</v>
      </c>
      <c r="L27" s="345">
        <f t="shared" si="11"/>
        <v>0</v>
      </c>
      <c r="M27" s="345">
        <f t="shared" si="11"/>
        <v>0</v>
      </c>
      <c r="N27" s="345">
        <f>53+0</f>
        <v>53</v>
      </c>
      <c r="O27" s="346">
        <f aca="true" t="shared" si="14" ref="O27:O49">0+0</f>
        <v>0</v>
      </c>
    </row>
    <row r="28" spans="1:15" ht="13.5" customHeight="1">
      <c r="A28" s="196" t="s">
        <v>38</v>
      </c>
      <c r="B28" s="344">
        <f t="shared" si="5"/>
        <v>3256</v>
      </c>
      <c r="C28" s="345">
        <f>2172+94</f>
        <v>2266</v>
      </c>
      <c r="D28" s="345">
        <f>0+263</f>
        <v>263</v>
      </c>
      <c r="E28" s="345">
        <f>0+119</f>
        <v>119</v>
      </c>
      <c r="F28" s="345">
        <f t="shared" si="12"/>
        <v>0</v>
      </c>
      <c r="G28" s="345">
        <f t="shared" si="12"/>
        <v>0</v>
      </c>
      <c r="H28" s="345">
        <f t="shared" si="10"/>
        <v>0</v>
      </c>
      <c r="I28" s="345">
        <f t="shared" si="13"/>
        <v>0</v>
      </c>
      <c r="J28" s="345">
        <f>106+162</f>
        <v>268</v>
      </c>
      <c r="K28" s="345">
        <f>0+68</f>
        <v>68</v>
      </c>
      <c r="L28" s="345">
        <f>0+0</f>
        <v>0</v>
      </c>
      <c r="M28" s="345">
        <f>0+0</f>
        <v>0</v>
      </c>
      <c r="N28" s="345">
        <f>0+272</f>
        <v>272</v>
      </c>
      <c r="O28" s="346">
        <f t="shared" si="14"/>
        <v>0</v>
      </c>
    </row>
    <row r="29" spans="1:15" ht="13.5" customHeight="1">
      <c r="A29" s="196" t="s">
        <v>144</v>
      </c>
      <c r="B29" s="344">
        <f t="shared" si="5"/>
        <v>5817</v>
      </c>
      <c r="C29" s="345">
        <f>3616+553</f>
        <v>4169</v>
      </c>
      <c r="D29" s="345">
        <f>955+657</f>
        <v>1612</v>
      </c>
      <c r="E29" s="345">
        <f>0+3</f>
        <v>3</v>
      </c>
      <c r="F29" s="345">
        <f aca="true" t="shared" si="15" ref="F29:F54">0+0</f>
        <v>0</v>
      </c>
      <c r="G29" s="345">
        <f>0+2</f>
        <v>2</v>
      </c>
      <c r="H29" s="345">
        <f t="shared" si="10"/>
        <v>0</v>
      </c>
      <c r="I29" s="345">
        <f t="shared" si="13"/>
        <v>0</v>
      </c>
      <c r="J29" s="345">
        <v>23</v>
      </c>
      <c r="K29" s="345">
        <f>0+0</f>
        <v>0</v>
      </c>
      <c r="L29" s="345">
        <f>0+0</f>
        <v>0</v>
      </c>
      <c r="M29" s="345">
        <f>0+0</f>
        <v>0</v>
      </c>
      <c r="N29" s="345">
        <f>0+8</f>
        <v>8</v>
      </c>
      <c r="O29" s="346">
        <f t="shared" si="14"/>
        <v>0</v>
      </c>
    </row>
    <row r="30" spans="1:15" ht="13.5" customHeight="1">
      <c r="A30" s="196" t="s">
        <v>145</v>
      </c>
      <c r="B30" s="344">
        <f t="shared" si="5"/>
        <v>5408</v>
      </c>
      <c r="C30" s="345">
        <f>4141+217</f>
        <v>4358</v>
      </c>
      <c r="D30" s="345">
        <f>301+665</f>
        <v>966</v>
      </c>
      <c r="E30" s="345">
        <f>0+3</f>
        <v>3</v>
      </c>
      <c r="F30" s="345">
        <f t="shared" si="15"/>
        <v>0</v>
      </c>
      <c r="G30" s="345">
        <f aca="true" t="shared" si="16" ref="G30:G48">0+0</f>
        <v>0</v>
      </c>
      <c r="H30" s="345">
        <f t="shared" si="10"/>
        <v>0</v>
      </c>
      <c r="I30" s="345">
        <f t="shared" si="13"/>
        <v>0</v>
      </c>
      <c r="J30" s="345">
        <f>0+59</f>
        <v>59</v>
      </c>
      <c r="K30" s="345">
        <f>0+2</f>
        <v>2</v>
      </c>
      <c r="L30" s="345">
        <f>20+0</f>
        <v>20</v>
      </c>
      <c r="M30" s="345">
        <f>0+0</f>
        <v>0</v>
      </c>
      <c r="N30" s="345">
        <f>0+0</f>
        <v>0</v>
      </c>
      <c r="O30" s="346">
        <f t="shared" si="14"/>
        <v>0</v>
      </c>
    </row>
    <row r="31" spans="1:15" ht="13.5" customHeight="1">
      <c r="A31" s="196" t="s">
        <v>146</v>
      </c>
      <c r="B31" s="344">
        <f t="shared" si="5"/>
        <v>11929</v>
      </c>
      <c r="C31" s="345">
        <f>708+1115</f>
        <v>1823</v>
      </c>
      <c r="D31" s="345">
        <f>8190+1913</f>
        <v>10103</v>
      </c>
      <c r="E31" s="345">
        <f>0+0</f>
        <v>0</v>
      </c>
      <c r="F31" s="345">
        <f t="shared" si="15"/>
        <v>0</v>
      </c>
      <c r="G31" s="345">
        <f t="shared" si="16"/>
        <v>0</v>
      </c>
      <c r="H31" s="345">
        <f t="shared" si="10"/>
        <v>0</v>
      </c>
      <c r="I31" s="345">
        <f t="shared" si="13"/>
        <v>0</v>
      </c>
      <c r="J31" s="345">
        <f>0+0</f>
        <v>0</v>
      </c>
      <c r="K31" s="345">
        <f>0+3</f>
        <v>3</v>
      </c>
      <c r="L31" s="345">
        <f>0+0</f>
        <v>0</v>
      </c>
      <c r="M31" s="345">
        <f>0+0</f>
        <v>0</v>
      </c>
      <c r="N31" s="345">
        <f>0+0</f>
        <v>0</v>
      </c>
      <c r="O31" s="346">
        <f t="shared" si="14"/>
        <v>0</v>
      </c>
    </row>
    <row r="32" spans="1:15" ht="13.5" customHeight="1">
      <c r="A32" s="196" t="s">
        <v>147</v>
      </c>
      <c r="B32" s="344">
        <f t="shared" si="5"/>
        <v>992</v>
      </c>
      <c r="C32" s="345">
        <f>103+741</f>
        <v>844</v>
      </c>
      <c r="D32" s="345">
        <f>0+41</f>
        <v>41</v>
      </c>
      <c r="E32" s="345">
        <v>3</v>
      </c>
      <c r="F32" s="345">
        <f t="shared" si="15"/>
        <v>0</v>
      </c>
      <c r="G32" s="345">
        <f t="shared" si="16"/>
        <v>0</v>
      </c>
      <c r="H32" s="345">
        <f t="shared" si="10"/>
        <v>0</v>
      </c>
      <c r="I32" s="345">
        <f t="shared" si="13"/>
        <v>0</v>
      </c>
      <c r="J32" s="345">
        <f>0+67</f>
        <v>67</v>
      </c>
      <c r="K32" s="345">
        <f>0+0</f>
        <v>0</v>
      </c>
      <c r="L32" s="345">
        <f>0+0</f>
        <v>0</v>
      </c>
      <c r="M32" s="345">
        <f aca="true" t="shared" si="17" ref="M32:M54">0+0</f>
        <v>0</v>
      </c>
      <c r="N32" s="345">
        <f>0+37</f>
        <v>37</v>
      </c>
      <c r="O32" s="346">
        <f t="shared" si="14"/>
        <v>0</v>
      </c>
    </row>
    <row r="33" spans="1:15" ht="13.5" customHeight="1">
      <c r="A33" s="196" t="s">
        <v>148</v>
      </c>
      <c r="B33" s="344">
        <f t="shared" si="5"/>
        <v>9185</v>
      </c>
      <c r="C33" s="345">
        <f>2357+31</f>
        <v>2388</v>
      </c>
      <c r="D33" s="345">
        <f>714+5683</f>
        <v>6397</v>
      </c>
      <c r="E33" s="345">
        <f>0+0</f>
        <v>0</v>
      </c>
      <c r="F33" s="345">
        <f t="shared" si="15"/>
        <v>0</v>
      </c>
      <c r="G33" s="345">
        <f t="shared" si="16"/>
        <v>0</v>
      </c>
      <c r="H33" s="345">
        <f t="shared" si="10"/>
        <v>0</v>
      </c>
      <c r="I33" s="345">
        <f t="shared" si="13"/>
        <v>0</v>
      </c>
      <c r="J33" s="345">
        <f>206+0</f>
        <v>206</v>
      </c>
      <c r="K33" s="345">
        <f>0+5</f>
        <v>5</v>
      </c>
      <c r="L33" s="345">
        <f>0+0</f>
        <v>0</v>
      </c>
      <c r="M33" s="345">
        <f t="shared" si="17"/>
        <v>0</v>
      </c>
      <c r="N33" s="345">
        <f>0+189</f>
        <v>189</v>
      </c>
      <c r="O33" s="346">
        <f t="shared" si="14"/>
        <v>0</v>
      </c>
    </row>
    <row r="34" spans="1:15" ht="13.5" customHeight="1">
      <c r="A34" s="196" t="s">
        <v>44</v>
      </c>
      <c r="B34" s="344">
        <f t="shared" si="5"/>
        <v>17070</v>
      </c>
      <c r="C34" s="345">
        <f>15694+613</f>
        <v>16307</v>
      </c>
      <c r="D34" s="345">
        <f>234+491</f>
        <v>725</v>
      </c>
      <c r="E34" s="345">
        <f>0+30</f>
        <v>30</v>
      </c>
      <c r="F34" s="345">
        <f t="shared" si="15"/>
        <v>0</v>
      </c>
      <c r="G34" s="345">
        <f t="shared" si="16"/>
        <v>0</v>
      </c>
      <c r="H34" s="345">
        <f t="shared" si="10"/>
        <v>0</v>
      </c>
      <c r="I34" s="345">
        <f t="shared" si="13"/>
        <v>0</v>
      </c>
      <c r="J34" s="345">
        <f>0+0</f>
        <v>0</v>
      </c>
      <c r="K34" s="345">
        <f>0+1</f>
        <v>1</v>
      </c>
      <c r="L34" s="345">
        <f>0+7</f>
        <v>7</v>
      </c>
      <c r="M34" s="345">
        <f t="shared" si="17"/>
        <v>0</v>
      </c>
      <c r="N34" s="345">
        <f>0+0</f>
        <v>0</v>
      </c>
      <c r="O34" s="346">
        <f t="shared" si="14"/>
        <v>0</v>
      </c>
    </row>
    <row r="35" spans="1:15" ht="13.5" customHeight="1">
      <c r="A35" s="196" t="s">
        <v>149</v>
      </c>
      <c r="B35" s="344">
        <f t="shared" si="5"/>
        <v>887</v>
      </c>
      <c r="C35" s="345">
        <f>282+0</f>
        <v>282</v>
      </c>
      <c r="D35" s="345">
        <f>0+566</f>
        <v>566</v>
      </c>
      <c r="E35" s="345">
        <f>0+19</f>
        <v>19</v>
      </c>
      <c r="F35" s="345">
        <f t="shared" si="15"/>
        <v>0</v>
      </c>
      <c r="G35" s="345">
        <f t="shared" si="16"/>
        <v>0</v>
      </c>
      <c r="H35" s="345">
        <f t="shared" si="10"/>
        <v>0</v>
      </c>
      <c r="I35" s="345">
        <f t="shared" si="13"/>
        <v>0</v>
      </c>
      <c r="J35" s="345">
        <f>0+0</f>
        <v>0</v>
      </c>
      <c r="K35" s="345">
        <f>0+2</f>
        <v>2</v>
      </c>
      <c r="L35" s="345">
        <f aca="true" t="shared" si="18" ref="L35:L48">0+0</f>
        <v>0</v>
      </c>
      <c r="M35" s="345">
        <f t="shared" si="17"/>
        <v>0</v>
      </c>
      <c r="N35" s="345">
        <f>0+18</f>
        <v>18</v>
      </c>
      <c r="O35" s="346">
        <f t="shared" si="14"/>
        <v>0</v>
      </c>
    </row>
    <row r="36" spans="1:15" ht="13.5" customHeight="1">
      <c r="A36" s="196" t="s">
        <v>150</v>
      </c>
      <c r="B36" s="344">
        <f t="shared" si="5"/>
        <v>371</v>
      </c>
      <c r="C36" s="345">
        <f>217+24</f>
        <v>241</v>
      </c>
      <c r="D36" s="345">
        <f>0+69</f>
        <v>69</v>
      </c>
      <c r="E36" s="345">
        <f>0+2</f>
        <v>2</v>
      </c>
      <c r="F36" s="345">
        <f t="shared" si="15"/>
        <v>0</v>
      </c>
      <c r="G36" s="345">
        <f t="shared" si="16"/>
        <v>0</v>
      </c>
      <c r="H36" s="345">
        <f t="shared" si="10"/>
        <v>0</v>
      </c>
      <c r="I36" s="345">
        <f t="shared" si="13"/>
        <v>0</v>
      </c>
      <c r="J36" s="345">
        <f>0+59</f>
        <v>59</v>
      </c>
      <c r="K36" s="345">
        <f>0+0</f>
        <v>0</v>
      </c>
      <c r="L36" s="345">
        <f t="shared" si="18"/>
        <v>0</v>
      </c>
      <c r="M36" s="345">
        <f t="shared" si="17"/>
        <v>0</v>
      </c>
      <c r="N36" s="345">
        <f>0+0</f>
        <v>0</v>
      </c>
      <c r="O36" s="346">
        <f t="shared" si="14"/>
        <v>0</v>
      </c>
    </row>
    <row r="37" spans="1:15" ht="13.5" customHeight="1">
      <c r="A37" s="196" t="s">
        <v>151</v>
      </c>
      <c r="B37" s="344">
        <f t="shared" si="5"/>
        <v>91</v>
      </c>
      <c r="C37" s="345">
        <f>0+0</f>
        <v>0</v>
      </c>
      <c r="D37" s="345">
        <f>0+91</f>
        <v>91</v>
      </c>
      <c r="E37" s="345">
        <f>0+0</f>
        <v>0</v>
      </c>
      <c r="F37" s="345">
        <f t="shared" si="15"/>
        <v>0</v>
      </c>
      <c r="G37" s="345">
        <f t="shared" si="16"/>
        <v>0</v>
      </c>
      <c r="H37" s="345">
        <f t="shared" si="10"/>
        <v>0</v>
      </c>
      <c r="I37" s="345">
        <f t="shared" si="13"/>
        <v>0</v>
      </c>
      <c r="J37" s="345">
        <f>0+0</f>
        <v>0</v>
      </c>
      <c r="K37" s="345">
        <f>0+0</f>
        <v>0</v>
      </c>
      <c r="L37" s="345">
        <f t="shared" si="18"/>
        <v>0</v>
      </c>
      <c r="M37" s="345">
        <f t="shared" si="17"/>
        <v>0</v>
      </c>
      <c r="N37" s="345">
        <f>0+0</f>
        <v>0</v>
      </c>
      <c r="O37" s="346">
        <f t="shared" si="14"/>
        <v>0</v>
      </c>
    </row>
    <row r="38" spans="1:15" ht="13.5" customHeight="1">
      <c r="A38" s="196" t="s">
        <v>152</v>
      </c>
      <c r="B38" s="344">
        <f t="shared" si="5"/>
        <v>452</v>
      </c>
      <c r="C38" s="345">
        <f>0+119</f>
        <v>119</v>
      </c>
      <c r="D38" s="345">
        <f>0+332</f>
        <v>332</v>
      </c>
      <c r="E38" s="345">
        <f>0+1</f>
        <v>1</v>
      </c>
      <c r="F38" s="345">
        <f t="shared" si="15"/>
        <v>0</v>
      </c>
      <c r="G38" s="345">
        <f t="shared" si="16"/>
        <v>0</v>
      </c>
      <c r="H38" s="345">
        <f t="shared" si="10"/>
        <v>0</v>
      </c>
      <c r="I38" s="345">
        <f t="shared" si="13"/>
        <v>0</v>
      </c>
      <c r="J38" s="345">
        <f>0+0</f>
        <v>0</v>
      </c>
      <c r="K38" s="345">
        <f>0+0</f>
        <v>0</v>
      </c>
      <c r="L38" s="345">
        <f t="shared" si="18"/>
        <v>0</v>
      </c>
      <c r="M38" s="345">
        <f t="shared" si="17"/>
        <v>0</v>
      </c>
      <c r="N38" s="345">
        <f>0+0</f>
        <v>0</v>
      </c>
      <c r="O38" s="346">
        <f t="shared" si="14"/>
        <v>0</v>
      </c>
    </row>
    <row r="39" spans="1:15" ht="13.5" customHeight="1">
      <c r="A39" s="196" t="s">
        <v>153</v>
      </c>
      <c r="B39" s="344">
        <f t="shared" si="5"/>
        <v>23014</v>
      </c>
      <c r="C39" s="345">
        <f>8767+1104</f>
        <v>9871</v>
      </c>
      <c r="D39" s="345">
        <f>12105+609</f>
        <v>12714</v>
      </c>
      <c r="E39" s="345">
        <f>11+177</f>
        <v>188</v>
      </c>
      <c r="F39" s="345">
        <f t="shared" si="15"/>
        <v>0</v>
      </c>
      <c r="G39" s="345">
        <f t="shared" si="16"/>
        <v>0</v>
      </c>
      <c r="H39" s="345">
        <f t="shared" si="10"/>
        <v>0</v>
      </c>
      <c r="I39" s="345">
        <f t="shared" si="13"/>
        <v>0</v>
      </c>
      <c r="J39" s="345">
        <f>0+0</f>
        <v>0</v>
      </c>
      <c r="K39" s="345">
        <f>12+46</f>
        <v>58</v>
      </c>
      <c r="L39" s="345">
        <f t="shared" si="18"/>
        <v>0</v>
      </c>
      <c r="M39" s="345">
        <f t="shared" si="17"/>
        <v>0</v>
      </c>
      <c r="N39" s="345">
        <f>0+183</f>
        <v>183</v>
      </c>
      <c r="O39" s="346">
        <f t="shared" si="14"/>
        <v>0</v>
      </c>
    </row>
    <row r="40" spans="1:15" ht="13.5" customHeight="1">
      <c r="A40" s="196" t="s">
        <v>154</v>
      </c>
      <c r="B40" s="344">
        <f t="shared" si="5"/>
        <v>9202</v>
      </c>
      <c r="C40" s="345">
        <f>5540+7</f>
        <v>5547</v>
      </c>
      <c r="D40" s="345">
        <f>3065+378</f>
        <v>3443</v>
      </c>
      <c r="E40" s="345">
        <f>0+33</f>
        <v>33</v>
      </c>
      <c r="F40" s="345">
        <f t="shared" si="15"/>
        <v>0</v>
      </c>
      <c r="G40" s="345">
        <f t="shared" si="16"/>
        <v>0</v>
      </c>
      <c r="H40" s="345">
        <f t="shared" si="10"/>
        <v>0</v>
      </c>
      <c r="I40" s="345">
        <f t="shared" si="13"/>
        <v>0</v>
      </c>
      <c r="J40" s="345">
        <f>172+0</f>
        <v>172</v>
      </c>
      <c r="K40" s="345">
        <f>5+2</f>
        <v>7</v>
      </c>
      <c r="L40" s="345">
        <f t="shared" si="18"/>
        <v>0</v>
      </c>
      <c r="M40" s="345">
        <f t="shared" si="17"/>
        <v>0</v>
      </c>
      <c r="N40" s="345">
        <f>0+0</f>
        <v>0</v>
      </c>
      <c r="O40" s="346">
        <f t="shared" si="14"/>
        <v>0</v>
      </c>
    </row>
    <row r="41" spans="1:15" ht="13.5" customHeight="1">
      <c r="A41" s="196" t="s">
        <v>155</v>
      </c>
      <c r="B41" s="344">
        <f t="shared" si="5"/>
        <v>5038</v>
      </c>
      <c r="C41" s="345">
        <f>3931+7</f>
        <v>3938</v>
      </c>
      <c r="D41" s="345">
        <f>269+78</f>
        <v>347</v>
      </c>
      <c r="E41" s="345">
        <f>1+44</f>
        <v>45</v>
      </c>
      <c r="F41" s="345">
        <f t="shared" si="15"/>
        <v>0</v>
      </c>
      <c r="G41" s="345">
        <f t="shared" si="16"/>
        <v>0</v>
      </c>
      <c r="H41" s="345">
        <f t="shared" si="10"/>
        <v>0</v>
      </c>
      <c r="I41" s="345">
        <f t="shared" si="13"/>
        <v>0</v>
      </c>
      <c r="J41" s="345">
        <f>107+200</f>
        <v>307</v>
      </c>
      <c r="K41" s="345">
        <f>0+12</f>
        <v>12</v>
      </c>
      <c r="L41" s="345">
        <f t="shared" si="18"/>
        <v>0</v>
      </c>
      <c r="M41" s="345">
        <f t="shared" si="17"/>
        <v>0</v>
      </c>
      <c r="N41" s="345">
        <f>334+55</f>
        <v>389</v>
      </c>
      <c r="O41" s="346">
        <f t="shared" si="14"/>
        <v>0</v>
      </c>
    </row>
    <row r="42" spans="1:15" ht="13.5" customHeight="1">
      <c r="A42" s="196" t="s">
        <v>52</v>
      </c>
      <c r="B42" s="344">
        <f t="shared" si="5"/>
        <v>1486</v>
      </c>
      <c r="C42" s="345">
        <f>980+101</f>
        <v>1081</v>
      </c>
      <c r="D42" s="345">
        <f>234+167</f>
        <v>401</v>
      </c>
      <c r="E42" s="345">
        <f>0+2</f>
        <v>2</v>
      </c>
      <c r="F42" s="345">
        <f t="shared" si="15"/>
        <v>0</v>
      </c>
      <c r="G42" s="345">
        <f t="shared" si="16"/>
        <v>0</v>
      </c>
      <c r="H42" s="345">
        <f t="shared" si="10"/>
        <v>0</v>
      </c>
      <c r="I42" s="345">
        <f t="shared" si="13"/>
        <v>0</v>
      </c>
      <c r="J42" s="345">
        <f>0+0</f>
        <v>0</v>
      </c>
      <c r="K42" s="345">
        <f>0+2</f>
        <v>2</v>
      </c>
      <c r="L42" s="345">
        <f t="shared" si="18"/>
        <v>0</v>
      </c>
      <c r="M42" s="345">
        <f t="shared" si="17"/>
        <v>0</v>
      </c>
      <c r="N42" s="345">
        <f>0+0</f>
        <v>0</v>
      </c>
      <c r="O42" s="346">
        <f t="shared" si="14"/>
        <v>0</v>
      </c>
    </row>
    <row r="43" spans="1:15" ht="13.5" customHeight="1">
      <c r="A43" s="196" t="s">
        <v>156</v>
      </c>
      <c r="B43" s="344">
        <f t="shared" si="5"/>
        <v>7065</v>
      </c>
      <c r="C43" s="345">
        <f>6373+241</f>
        <v>6614</v>
      </c>
      <c r="D43" s="345">
        <f>206+156</f>
        <v>362</v>
      </c>
      <c r="E43" s="345">
        <f>0+54</f>
        <v>54</v>
      </c>
      <c r="F43" s="345">
        <f t="shared" si="15"/>
        <v>0</v>
      </c>
      <c r="G43" s="345">
        <f t="shared" si="16"/>
        <v>0</v>
      </c>
      <c r="H43" s="345">
        <f t="shared" si="10"/>
        <v>0</v>
      </c>
      <c r="I43" s="345">
        <f t="shared" si="13"/>
        <v>0</v>
      </c>
      <c r="J43" s="345">
        <f>0+15</f>
        <v>15</v>
      </c>
      <c r="K43" s="345">
        <f>18+2</f>
        <v>20</v>
      </c>
      <c r="L43" s="345">
        <f t="shared" si="18"/>
        <v>0</v>
      </c>
      <c r="M43" s="345">
        <f t="shared" si="17"/>
        <v>0</v>
      </c>
      <c r="N43" s="345">
        <f>0+0</f>
        <v>0</v>
      </c>
      <c r="O43" s="346">
        <f t="shared" si="14"/>
        <v>0</v>
      </c>
    </row>
    <row r="44" spans="1:15" ht="13.5" customHeight="1">
      <c r="A44" s="196" t="s">
        <v>157</v>
      </c>
      <c r="B44" s="344">
        <f t="shared" si="5"/>
        <v>22400</v>
      </c>
      <c r="C44" s="345">
        <f>16604+36</f>
        <v>16640</v>
      </c>
      <c r="D44" s="345">
        <f>4547+258</f>
        <v>4805</v>
      </c>
      <c r="E44" s="345">
        <f>0+33</f>
        <v>33</v>
      </c>
      <c r="F44" s="345">
        <f t="shared" si="15"/>
        <v>0</v>
      </c>
      <c r="G44" s="345">
        <f t="shared" si="16"/>
        <v>0</v>
      </c>
      <c r="H44" s="345">
        <f>0+6</f>
        <v>6</v>
      </c>
      <c r="I44" s="345">
        <f t="shared" si="13"/>
        <v>0</v>
      </c>
      <c r="J44" s="345">
        <f>266+137</f>
        <v>403</v>
      </c>
      <c r="K44" s="345">
        <f>439+19</f>
        <v>458</v>
      </c>
      <c r="L44" s="345">
        <f t="shared" si="18"/>
        <v>0</v>
      </c>
      <c r="M44" s="345">
        <f t="shared" si="17"/>
        <v>0</v>
      </c>
      <c r="N44" s="345">
        <f>55+0</f>
        <v>55</v>
      </c>
      <c r="O44" s="346">
        <f t="shared" si="14"/>
        <v>0</v>
      </c>
    </row>
    <row r="45" spans="1:15" ht="13.5" customHeight="1">
      <c r="A45" s="196" t="s">
        <v>158</v>
      </c>
      <c r="B45" s="344">
        <f t="shared" si="5"/>
        <v>4761</v>
      </c>
      <c r="C45" s="345">
        <f>4340+0</f>
        <v>4340</v>
      </c>
      <c r="D45" s="345">
        <f>208+86</f>
        <v>294</v>
      </c>
      <c r="E45" s="345">
        <f>0+8</f>
        <v>8</v>
      </c>
      <c r="F45" s="345">
        <f t="shared" si="15"/>
        <v>0</v>
      </c>
      <c r="G45" s="345">
        <f t="shared" si="16"/>
        <v>0</v>
      </c>
      <c r="H45" s="345">
        <f aca="true" t="shared" si="19" ref="H45:H54">0+0</f>
        <v>0</v>
      </c>
      <c r="I45" s="345">
        <f t="shared" si="13"/>
        <v>0</v>
      </c>
      <c r="J45" s="345">
        <f>22+11</f>
        <v>33</v>
      </c>
      <c r="K45" s="345">
        <f>85+1</f>
        <v>86</v>
      </c>
      <c r="L45" s="345">
        <f t="shared" si="18"/>
        <v>0</v>
      </c>
      <c r="M45" s="345">
        <f t="shared" si="17"/>
        <v>0</v>
      </c>
      <c r="N45" s="345">
        <f>0+0</f>
        <v>0</v>
      </c>
      <c r="O45" s="346">
        <f t="shared" si="14"/>
        <v>0</v>
      </c>
    </row>
    <row r="46" spans="1:15" ht="13.5" customHeight="1">
      <c r="A46" s="196" t="s">
        <v>56</v>
      </c>
      <c r="B46" s="344">
        <f t="shared" si="5"/>
        <v>26119</v>
      </c>
      <c r="C46" s="345">
        <f>19817+515</f>
        <v>20332</v>
      </c>
      <c r="D46" s="345">
        <f>5328+220</f>
        <v>5548</v>
      </c>
      <c r="E46" s="345">
        <f>0+9</f>
        <v>9</v>
      </c>
      <c r="F46" s="345">
        <f t="shared" si="15"/>
        <v>0</v>
      </c>
      <c r="G46" s="345">
        <f t="shared" si="16"/>
        <v>0</v>
      </c>
      <c r="H46" s="345">
        <f t="shared" si="19"/>
        <v>0</v>
      </c>
      <c r="I46" s="345">
        <f t="shared" si="13"/>
        <v>0</v>
      </c>
      <c r="J46" s="345">
        <f>0+0</f>
        <v>0</v>
      </c>
      <c r="K46" s="345">
        <f>217+0</f>
        <v>217</v>
      </c>
      <c r="L46" s="345">
        <f t="shared" si="18"/>
        <v>0</v>
      </c>
      <c r="M46" s="345">
        <f t="shared" si="17"/>
        <v>0</v>
      </c>
      <c r="N46" s="345">
        <v>13</v>
      </c>
      <c r="O46" s="346">
        <f t="shared" si="14"/>
        <v>0</v>
      </c>
    </row>
    <row r="47" spans="1:15" ht="13.5" customHeight="1">
      <c r="A47" s="196" t="s">
        <v>159</v>
      </c>
      <c r="B47" s="344">
        <f t="shared" si="5"/>
        <v>15160</v>
      </c>
      <c r="C47" s="345">
        <f>12367+14</f>
        <v>12381</v>
      </c>
      <c r="D47" s="345">
        <f>2134+161</f>
        <v>2295</v>
      </c>
      <c r="E47" s="345">
        <f>14+15</f>
        <v>29</v>
      </c>
      <c r="F47" s="345">
        <f t="shared" si="15"/>
        <v>0</v>
      </c>
      <c r="G47" s="345">
        <f t="shared" si="16"/>
        <v>0</v>
      </c>
      <c r="H47" s="345">
        <f t="shared" si="19"/>
        <v>0</v>
      </c>
      <c r="I47" s="345">
        <f t="shared" si="13"/>
        <v>0</v>
      </c>
      <c r="J47" s="345">
        <f>303+31</f>
        <v>334</v>
      </c>
      <c r="K47" s="345">
        <f>18+7</f>
        <v>25</v>
      </c>
      <c r="L47" s="345">
        <f t="shared" si="18"/>
        <v>0</v>
      </c>
      <c r="M47" s="345">
        <f t="shared" si="17"/>
        <v>0</v>
      </c>
      <c r="N47" s="345">
        <f>96+0</f>
        <v>96</v>
      </c>
      <c r="O47" s="346">
        <f t="shared" si="14"/>
        <v>0</v>
      </c>
    </row>
    <row r="48" spans="1:15" ht="13.5" customHeight="1">
      <c r="A48" s="196" t="s">
        <v>160</v>
      </c>
      <c r="B48" s="344">
        <f t="shared" si="5"/>
        <v>4790</v>
      </c>
      <c r="C48" s="345">
        <f>4657+26</f>
        <v>4683</v>
      </c>
      <c r="D48" s="345">
        <f>0+68</f>
        <v>68</v>
      </c>
      <c r="E48" s="345">
        <f>3+7</f>
        <v>10</v>
      </c>
      <c r="F48" s="345">
        <f t="shared" si="15"/>
        <v>0</v>
      </c>
      <c r="G48" s="345">
        <f t="shared" si="16"/>
        <v>0</v>
      </c>
      <c r="H48" s="345">
        <f t="shared" si="19"/>
        <v>0</v>
      </c>
      <c r="I48" s="345">
        <f t="shared" si="13"/>
        <v>0</v>
      </c>
      <c r="J48" s="345">
        <f>28+0</f>
        <v>28</v>
      </c>
      <c r="K48" s="345">
        <f>0+1</f>
        <v>1</v>
      </c>
      <c r="L48" s="345">
        <f t="shared" si="18"/>
        <v>0</v>
      </c>
      <c r="M48" s="345">
        <f t="shared" si="17"/>
        <v>0</v>
      </c>
      <c r="N48" s="345">
        <f>0+0</f>
        <v>0</v>
      </c>
      <c r="O48" s="346">
        <f t="shared" si="14"/>
        <v>0</v>
      </c>
    </row>
    <row r="49" spans="1:15" ht="13.5" customHeight="1">
      <c r="A49" s="196" t="s">
        <v>161</v>
      </c>
      <c r="B49" s="344">
        <f t="shared" si="5"/>
        <v>17797</v>
      </c>
      <c r="C49" s="345">
        <f>13140+66</f>
        <v>13206</v>
      </c>
      <c r="D49" s="345">
        <f>3008+80</f>
        <v>3088</v>
      </c>
      <c r="E49" s="345">
        <f>0+160</f>
        <v>160</v>
      </c>
      <c r="F49" s="345">
        <f t="shared" si="15"/>
        <v>0</v>
      </c>
      <c r="G49" s="345">
        <f>0+2</f>
        <v>2</v>
      </c>
      <c r="H49" s="345">
        <f t="shared" si="19"/>
        <v>0</v>
      </c>
      <c r="I49" s="345">
        <f t="shared" si="13"/>
        <v>0</v>
      </c>
      <c r="J49" s="345">
        <f>567+11</f>
        <v>578</v>
      </c>
      <c r="K49" s="345">
        <f>295+2</f>
        <v>297</v>
      </c>
      <c r="L49" s="345">
        <f>0+1</f>
        <v>1</v>
      </c>
      <c r="M49" s="345">
        <f t="shared" si="17"/>
        <v>0</v>
      </c>
      <c r="N49" s="345">
        <f>465+0</f>
        <v>465</v>
      </c>
      <c r="O49" s="346">
        <f t="shared" si="14"/>
        <v>0</v>
      </c>
    </row>
    <row r="50" spans="1:15" ht="13.5" customHeight="1">
      <c r="A50" s="196" t="s">
        <v>162</v>
      </c>
      <c r="B50" s="344">
        <f t="shared" si="5"/>
        <v>3331</v>
      </c>
      <c r="C50" s="345">
        <f>1204+1610</f>
        <v>2814</v>
      </c>
      <c r="D50" s="345">
        <f>133+40</f>
        <v>173</v>
      </c>
      <c r="E50" s="345">
        <f>0+0</f>
        <v>0</v>
      </c>
      <c r="F50" s="345">
        <f t="shared" si="15"/>
        <v>0</v>
      </c>
      <c r="G50" s="345">
        <f>0+0</f>
        <v>0</v>
      </c>
      <c r="H50" s="345">
        <f t="shared" si="19"/>
        <v>0</v>
      </c>
      <c r="I50" s="345">
        <f t="shared" si="13"/>
        <v>0</v>
      </c>
      <c r="J50" s="345">
        <f>0+312</f>
        <v>312</v>
      </c>
      <c r="K50" s="345">
        <f>6+0</f>
        <v>6</v>
      </c>
      <c r="L50" s="345">
        <f>0+0</f>
        <v>0</v>
      </c>
      <c r="M50" s="345">
        <f t="shared" si="17"/>
        <v>0</v>
      </c>
      <c r="N50" s="345">
        <f>0+0</f>
        <v>0</v>
      </c>
      <c r="O50" s="346">
        <f>0+26</f>
        <v>26</v>
      </c>
    </row>
    <row r="51" spans="1:15" ht="13.5" customHeight="1">
      <c r="A51" s="196" t="s">
        <v>163</v>
      </c>
      <c r="B51" s="344">
        <f t="shared" si="5"/>
        <v>1086</v>
      </c>
      <c r="C51" s="345">
        <f>167+811</f>
        <v>978</v>
      </c>
      <c r="D51" s="345">
        <f>0+69</f>
        <v>69</v>
      </c>
      <c r="E51" s="345">
        <f>0+0</f>
        <v>0</v>
      </c>
      <c r="F51" s="345">
        <f t="shared" si="15"/>
        <v>0</v>
      </c>
      <c r="G51" s="345">
        <f>0+0</f>
        <v>0</v>
      </c>
      <c r="H51" s="345">
        <f t="shared" si="19"/>
        <v>0</v>
      </c>
      <c r="I51" s="345">
        <f t="shared" si="13"/>
        <v>0</v>
      </c>
      <c r="J51" s="345">
        <f>0+32</f>
        <v>32</v>
      </c>
      <c r="K51" s="345">
        <f>0+7</f>
        <v>7</v>
      </c>
      <c r="L51" s="345">
        <f>0+0</f>
        <v>0</v>
      </c>
      <c r="M51" s="345">
        <f t="shared" si="17"/>
        <v>0</v>
      </c>
      <c r="N51" s="345">
        <f>0+0</f>
        <v>0</v>
      </c>
      <c r="O51" s="346">
        <f>0+0</f>
        <v>0</v>
      </c>
    </row>
    <row r="52" spans="1:15" ht="13.5" customHeight="1">
      <c r="A52" s="196" t="s">
        <v>164</v>
      </c>
      <c r="B52" s="344">
        <f t="shared" si="5"/>
        <v>51027</v>
      </c>
      <c r="C52" s="345">
        <f>46730+1207</f>
        <v>47937</v>
      </c>
      <c r="D52" s="345">
        <f>1680+806</f>
        <v>2486</v>
      </c>
      <c r="E52" s="345">
        <f>0+1</f>
        <v>1</v>
      </c>
      <c r="F52" s="345">
        <f t="shared" si="15"/>
        <v>0</v>
      </c>
      <c r="G52" s="345">
        <f>0+0</f>
        <v>0</v>
      </c>
      <c r="H52" s="345">
        <f t="shared" si="19"/>
        <v>0</v>
      </c>
      <c r="I52" s="345">
        <f t="shared" si="13"/>
        <v>0</v>
      </c>
      <c r="J52" s="345">
        <f>502+0</f>
        <v>502</v>
      </c>
      <c r="K52" s="345">
        <f>49+25</f>
        <v>74</v>
      </c>
      <c r="L52" s="345">
        <f>0+0</f>
        <v>0</v>
      </c>
      <c r="M52" s="345">
        <f t="shared" si="17"/>
        <v>0</v>
      </c>
      <c r="N52" s="345">
        <f>0+27</f>
        <v>27</v>
      </c>
      <c r="O52" s="346">
        <f>0+0</f>
        <v>0</v>
      </c>
    </row>
    <row r="53" spans="1:15" ht="13.5" customHeight="1">
      <c r="A53" s="196" t="s">
        <v>165</v>
      </c>
      <c r="B53" s="344">
        <f t="shared" si="5"/>
        <v>4125</v>
      </c>
      <c r="C53" s="345">
        <f>613+2206</f>
        <v>2819</v>
      </c>
      <c r="D53" s="345">
        <f>258+938</f>
        <v>1196</v>
      </c>
      <c r="E53" s="345">
        <f>0+1</f>
        <v>1</v>
      </c>
      <c r="F53" s="345">
        <f t="shared" si="15"/>
        <v>0</v>
      </c>
      <c r="G53" s="345">
        <f>+0</f>
        <v>0</v>
      </c>
      <c r="H53" s="345">
        <f t="shared" si="19"/>
        <v>0</v>
      </c>
      <c r="I53" s="345">
        <f t="shared" si="13"/>
        <v>0</v>
      </c>
      <c r="J53" s="345">
        <f>0+106</f>
        <v>106</v>
      </c>
      <c r="K53" s="345">
        <f>0+3</f>
        <v>3</v>
      </c>
      <c r="L53" s="345">
        <f>0+0</f>
        <v>0</v>
      </c>
      <c r="M53" s="345">
        <f t="shared" si="17"/>
        <v>0</v>
      </c>
      <c r="N53" s="345">
        <f>0+0</f>
        <v>0</v>
      </c>
      <c r="O53" s="346">
        <f>0+0</f>
        <v>0</v>
      </c>
    </row>
    <row r="54" spans="1:15" ht="13.5" customHeight="1">
      <c r="A54" s="196" t="s">
        <v>166</v>
      </c>
      <c r="B54" s="344">
        <f t="shared" si="5"/>
        <v>16558</v>
      </c>
      <c r="C54" s="345">
        <f>5965+6599</f>
        <v>12564</v>
      </c>
      <c r="D54" s="345">
        <f>0+3894</f>
        <v>3894</v>
      </c>
      <c r="E54" s="345">
        <f>0+42</f>
        <v>42</v>
      </c>
      <c r="F54" s="345">
        <f t="shared" si="15"/>
        <v>0</v>
      </c>
      <c r="G54" s="345">
        <f>0+0</f>
        <v>0</v>
      </c>
      <c r="H54" s="345">
        <f t="shared" si="19"/>
        <v>0</v>
      </c>
      <c r="I54" s="345">
        <f t="shared" si="13"/>
        <v>0</v>
      </c>
      <c r="J54" s="345">
        <f>0+17</f>
        <v>17</v>
      </c>
      <c r="K54" s="345">
        <f>0+41</f>
        <v>41</v>
      </c>
      <c r="L54" s="345">
        <f>0+0</f>
        <v>0</v>
      </c>
      <c r="M54" s="345">
        <f t="shared" si="17"/>
        <v>0</v>
      </c>
      <c r="N54" s="345">
        <f>0+0</f>
        <v>0</v>
      </c>
      <c r="O54" s="346">
        <f>0+0</f>
        <v>0</v>
      </c>
    </row>
    <row r="55" spans="1:15" ht="13.5" customHeight="1">
      <c r="A55" s="196" t="s">
        <v>181</v>
      </c>
      <c r="B55" s="344">
        <f t="shared" si="5"/>
        <v>11966</v>
      </c>
      <c r="C55" s="345">
        <f aca="true" t="shared" si="20" ref="C55:O55">+C56+C57</f>
        <v>10769</v>
      </c>
      <c r="D55" s="345">
        <f t="shared" si="20"/>
        <v>675</v>
      </c>
      <c r="E55" s="345">
        <f t="shared" si="20"/>
        <v>11</v>
      </c>
      <c r="F55" s="345">
        <f t="shared" si="20"/>
        <v>0</v>
      </c>
      <c r="G55" s="345">
        <f t="shared" si="20"/>
        <v>3</v>
      </c>
      <c r="H55" s="345">
        <f t="shared" si="20"/>
        <v>0</v>
      </c>
      <c r="I55" s="345">
        <f t="shared" si="20"/>
        <v>0</v>
      </c>
      <c r="J55" s="345">
        <f t="shared" si="20"/>
        <v>47</v>
      </c>
      <c r="K55" s="345">
        <f t="shared" si="20"/>
        <v>13</v>
      </c>
      <c r="L55" s="345">
        <f t="shared" si="20"/>
        <v>0</v>
      </c>
      <c r="M55" s="345">
        <f t="shared" si="20"/>
        <v>0</v>
      </c>
      <c r="N55" s="345">
        <f t="shared" si="20"/>
        <v>448</v>
      </c>
      <c r="O55" s="346">
        <f t="shared" si="20"/>
        <v>0</v>
      </c>
    </row>
    <row r="56" spans="1:15" ht="13.5" customHeight="1">
      <c r="A56" s="197" t="s">
        <v>182</v>
      </c>
      <c r="B56" s="344">
        <f t="shared" si="5"/>
        <v>11966</v>
      </c>
      <c r="C56" s="345">
        <f>10769+0</f>
        <v>10769</v>
      </c>
      <c r="D56" s="345">
        <f>63+612</f>
        <v>675</v>
      </c>
      <c r="E56" s="345">
        <f>0+11</f>
        <v>11</v>
      </c>
      <c r="F56" s="345">
        <f>0+0</f>
        <v>0</v>
      </c>
      <c r="G56" s="345">
        <f>3+0</f>
        <v>3</v>
      </c>
      <c r="H56" s="345">
        <f aca="true" t="shared" si="21" ref="H56:I58">0+0</f>
        <v>0</v>
      </c>
      <c r="I56" s="345">
        <f t="shared" si="21"/>
        <v>0</v>
      </c>
      <c r="J56" s="345">
        <f>47+0</f>
        <v>47</v>
      </c>
      <c r="K56" s="345">
        <f>11+2</f>
        <v>13</v>
      </c>
      <c r="L56" s="345">
        <f aca="true" t="shared" si="22" ref="L56:M58">0+0</f>
        <v>0</v>
      </c>
      <c r="M56" s="345">
        <f t="shared" si="22"/>
        <v>0</v>
      </c>
      <c r="N56" s="345">
        <f>0+448</f>
        <v>448</v>
      </c>
      <c r="O56" s="346">
        <f>0+0</f>
        <v>0</v>
      </c>
    </row>
    <row r="57" spans="1:15" ht="13.5" customHeight="1">
      <c r="A57" s="197" t="s">
        <v>183</v>
      </c>
      <c r="B57" s="344">
        <f t="shared" si="5"/>
        <v>0</v>
      </c>
      <c r="C57" s="345">
        <f aca="true" t="shared" si="23" ref="C57:E58">0+0</f>
        <v>0</v>
      </c>
      <c r="D57" s="345">
        <f t="shared" si="23"/>
        <v>0</v>
      </c>
      <c r="E57" s="345">
        <f t="shared" si="23"/>
        <v>0</v>
      </c>
      <c r="F57" s="345">
        <f>0+0</f>
        <v>0</v>
      </c>
      <c r="G57" s="345">
        <f>0+0</f>
        <v>0</v>
      </c>
      <c r="H57" s="345">
        <f t="shared" si="21"/>
        <v>0</v>
      </c>
      <c r="I57" s="345">
        <f t="shared" si="21"/>
        <v>0</v>
      </c>
      <c r="J57" s="345">
        <f aca="true" t="shared" si="24" ref="J57:K59">0+0</f>
        <v>0</v>
      </c>
      <c r="K57" s="345">
        <f t="shared" si="24"/>
        <v>0</v>
      </c>
      <c r="L57" s="345">
        <f t="shared" si="22"/>
        <v>0</v>
      </c>
      <c r="M57" s="345">
        <f t="shared" si="22"/>
        <v>0</v>
      </c>
      <c r="N57" s="345">
        <f>0+0</f>
        <v>0</v>
      </c>
      <c r="O57" s="346">
        <f>0+0</f>
        <v>0</v>
      </c>
    </row>
    <row r="58" spans="1:15" ht="13.5" customHeight="1">
      <c r="A58" s="196" t="s">
        <v>167</v>
      </c>
      <c r="B58" s="344">
        <f t="shared" si="5"/>
        <v>0</v>
      </c>
      <c r="C58" s="345">
        <f t="shared" si="23"/>
        <v>0</v>
      </c>
      <c r="D58" s="345">
        <f t="shared" si="23"/>
        <v>0</v>
      </c>
      <c r="E58" s="345">
        <f t="shared" si="23"/>
        <v>0</v>
      </c>
      <c r="F58" s="345">
        <f>0+0</f>
        <v>0</v>
      </c>
      <c r="G58" s="345">
        <f>0+0</f>
        <v>0</v>
      </c>
      <c r="H58" s="345">
        <f t="shared" si="21"/>
        <v>0</v>
      </c>
      <c r="I58" s="345">
        <f t="shared" si="21"/>
        <v>0</v>
      </c>
      <c r="J58" s="345">
        <f t="shared" si="24"/>
        <v>0</v>
      </c>
      <c r="K58" s="345">
        <f t="shared" si="24"/>
        <v>0</v>
      </c>
      <c r="L58" s="345">
        <f t="shared" si="22"/>
        <v>0</v>
      </c>
      <c r="M58" s="345">
        <f t="shared" si="22"/>
        <v>0</v>
      </c>
      <c r="N58" s="345">
        <f>0+0</f>
        <v>0</v>
      </c>
      <c r="O58" s="346">
        <f>0+0</f>
        <v>0</v>
      </c>
    </row>
    <row r="59" spans="1:15" ht="13.5" customHeight="1" thickBot="1">
      <c r="A59" s="198" t="s">
        <v>168</v>
      </c>
      <c r="B59" s="347">
        <f t="shared" si="5"/>
        <v>7775</v>
      </c>
      <c r="C59" s="348">
        <f>6530+0</f>
        <v>6530</v>
      </c>
      <c r="D59" s="348">
        <f>0+34</f>
        <v>34</v>
      </c>
      <c r="E59" s="348">
        <f>0+0</f>
        <v>0</v>
      </c>
      <c r="F59" s="348">
        <f>148+360</f>
        <v>508</v>
      </c>
      <c r="G59" s="348">
        <f>0+11+0+0</f>
        <v>11</v>
      </c>
      <c r="H59" s="348">
        <f>0+0</f>
        <v>0</v>
      </c>
      <c r="I59" s="348">
        <f>0+9</f>
        <v>9</v>
      </c>
      <c r="J59" s="348">
        <f t="shared" si="24"/>
        <v>0</v>
      </c>
      <c r="K59" s="348">
        <f t="shared" si="24"/>
        <v>0</v>
      </c>
      <c r="L59" s="348">
        <f>0+1</f>
        <v>1</v>
      </c>
      <c r="M59" s="348">
        <f>0+0</f>
        <v>0</v>
      </c>
      <c r="N59" s="348">
        <f>43+639</f>
        <v>682</v>
      </c>
      <c r="O59" s="349">
        <f>0+0</f>
        <v>0</v>
      </c>
    </row>
    <row r="60" spans="1:15" ht="12.75" thickTop="1">
      <c r="A60" s="173" t="s">
        <v>184</v>
      </c>
      <c r="B60" s="199"/>
      <c r="C60" s="200"/>
      <c r="D60" s="200"/>
      <c r="E60" s="200"/>
      <c r="F60" s="200"/>
      <c r="G60" s="200"/>
      <c r="H60" s="200"/>
      <c r="I60" s="200"/>
      <c r="J60" s="200"/>
      <c r="K60" s="200"/>
      <c r="L60" s="200"/>
      <c r="M60" s="200"/>
      <c r="N60" s="200"/>
      <c r="O60" s="174"/>
    </row>
    <row r="61" spans="1:15" ht="12">
      <c r="A61" s="173" t="s">
        <v>101</v>
      </c>
      <c r="B61" s="173"/>
      <c r="C61" s="174"/>
      <c r="D61" s="174"/>
      <c r="E61" s="174"/>
      <c r="F61" s="174"/>
      <c r="G61" s="174"/>
      <c r="H61" s="174"/>
      <c r="I61" s="174"/>
      <c r="J61" s="174"/>
      <c r="K61" s="174"/>
      <c r="L61" s="174"/>
      <c r="M61" s="174"/>
      <c r="N61" s="174"/>
      <c r="O61" s="174"/>
    </row>
    <row r="64" ht="12">
      <c r="H64" s="201"/>
    </row>
  </sheetData>
  <printOptions/>
  <pageMargins left="0.2362204724409449" right="0.1968503937007874" top="0.7086614173228347" bottom="0.11811023622047245" header="0.5118110236220472" footer="0.5118110236220472"/>
  <pageSetup horizontalDpi="600" verticalDpi="600" orientation="portrait" paperSize="9" scale="95" r:id="rId1"/>
  <headerFooter alignWithMargins="0">
    <oddHeader>&amp;R新区分版　　&amp;D　　&amp;T</oddHeader>
  </headerFooter>
</worksheet>
</file>

<file path=xl/worksheets/sheet14.xml><?xml version="1.0" encoding="utf-8"?>
<worksheet xmlns="http://schemas.openxmlformats.org/spreadsheetml/2006/main" xmlns:r="http://schemas.openxmlformats.org/officeDocument/2006/relationships">
  <dimension ref="A1:J16"/>
  <sheetViews>
    <sheetView workbookViewId="0" topLeftCell="A1">
      <selection activeCell="A1" sqref="A1"/>
    </sheetView>
  </sheetViews>
  <sheetFormatPr defaultColWidth="9.00390625" defaultRowHeight="15" customHeight="1"/>
  <cols>
    <col min="1" max="1" width="18.125" style="202" customWidth="1"/>
    <col min="2" max="9" width="9.625" style="172" customWidth="1"/>
    <col min="10" max="10" width="9.00390625" style="202" customWidth="1"/>
    <col min="11" max="16384" width="9.00390625" style="172" customWidth="1"/>
  </cols>
  <sheetData>
    <row r="1" spans="1:3" ht="18" customHeight="1">
      <c r="A1" s="112" t="s">
        <v>361</v>
      </c>
      <c r="B1" s="111"/>
      <c r="C1" s="111"/>
    </row>
    <row r="2" ht="15" customHeight="1" thickBot="1">
      <c r="I2" s="25" t="s">
        <v>376</v>
      </c>
    </row>
    <row r="3" spans="1:9" ht="15" customHeight="1" thickTop="1">
      <c r="A3" s="203" t="s">
        <v>185</v>
      </c>
      <c r="B3" s="204" t="s">
        <v>186</v>
      </c>
      <c r="C3" s="204"/>
      <c r="D3" s="204"/>
      <c r="E3" s="205"/>
      <c r="F3" s="206" t="s">
        <v>187</v>
      </c>
      <c r="G3" s="204"/>
      <c r="H3" s="204"/>
      <c r="I3" s="204"/>
    </row>
    <row r="4" spans="2:9" ht="15" customHeight="1">
      <c r="B4" s="480" t="s">
        <v>188</v>
      </c>
      <c r="C4" s="480" t="s">
        <v>189</v>
      </c>
      <c r="D4" s="207" t="s">
        <v>190</v>
      </c>
      <c r="E4" s="208"/>
      <c r="F4" s="480" t="s">
        <v>188</v>
      </c>
      <c r="G4" s="480" t="s">
        <v>189</v>
      </c>
      <c r="H4" s="207" t="s">
        <v>190</v>
      </c>
      <c r="I4" s="207"/>
    </row>
    <row r="5" spans="1:9" ht="15" customHeight="1">
      <c r="A5" s="209" t="s">
        <v>192</v>
      </c>
      <c r="B5" s="481"/>
      <c r="C5" s="481"/>
      <c r="D5" s="210" t="s">
        <v>188</v>
      </c>
      <c r="E5" s="210" t="s">
        <v>189</v>
      </c>
      <c r="F5" s="481"/>
      <c r="G5" s="481"/>
      <c r="H5" s="210" t="s">
        <v>188</v>
      </c>
      <c r="I5" s="211" t="s">
        <v>191</v>
      </c>
    </row>
    <row r="6" spans="1:9" ht="15" customHeight="1">
      <c r="A6" s="212" t="s">
        <v>139</v>
      </c>
      <c r="B6" s="213">
        <v>317</v>
      </c>
      <c r="C6" s="213">
        <v>1033706</v>
      </c>
      <c r="D6" s="213">
        <v>313</v>
      </c>
      <c r="E6" s="213">
        <v>1023256</v>
      </c>
      <c r="F6" s="213">
        <v>857</v>
      </c>
      <c r="G6" s="213">
        <v>1931590</v>
      </c>
      <c r="H6" s="213">
        <v>789</v>
      </c>
      <c r="I6" s="214">
        <v>1852290</v>
      </c>
    </row>
    <row r="7" spans="1:10" s="193" customFormat="1" ht="15" customHeight="1">
      <c r="A7" s="350" t="s">
        <v>362</v>
      </c>
      <c r="B7" s="351">
        <f aca="true" t="shared" si="0" ref="B7:I7">SUM(B9:B12)</f>
        <v>319</v>
      </c>
      <c r="C7" s="351">
        <f t="shared" si="0"/>
        <v>1053634</v>
      </c>
      <c r="D7" s="351">
        <f t="shared" si="0"/>
        <v>315</v>
      </c>
      <c r="E7" s="351">
        <f t="shared" si="0"/>
        <v>1043184</v>
      </c>
      <c r="F7" s="351">
        <f t="shared" si="0"/>
        <v>859</v>
      </c>
      <c r="G7" s="351">
        <f t="shared" si="0"/>
        <v>1932951</v>
      </c>
      <c r="H7" s="351">
        <f t="shared" si="0"/>
        <v>791</v>
      </c>
      <c r="I7" s="352">
        <f t="shared" si="0"/>
        <v>1854071</v>
      </c>
      <c r="J7" s="215"/>
    </row>
    <row r="8" spans="2:9" ht="9" customHeight="1">
      <c r="B8" s="351"/>
      <c r="C8" s="351"/>
      <c r="D8" s="351"/>
      <c r="E8" s="351"/>
      <c r="F8" s="351"/>
      <c r="G8" s="351"/>
      <c r="H8" s="351"/>
      <c r="I8" s="352"/>
    </row>
    <row r="9" spans="1:9" ht="15" customHeight="1">
      <c r="A9" s="216" t="s">
        <v>193</v>
      </c>
      <c r="B9" s="353">
        <v>71</v>
      </c>
      <c r="C9" s="353">
        <v>250678</v>
      </c>
      <c r="D9" s="353">
        <v>69</v>
      </c>
      <c r="E9" s="353">
        <v>245410</v>
      </c>
      <c r="F9" s="353">
        <f>120+89+104</f>
        <v>313</v>
      </c>
      <c r="G9" s="353">
        <f>249314+260771+211375</f>
        <v>721460</v>
      </c>
      <c r="H9" s="353">
        <f>107+86+88</f>
        <v>281</v>
      </c>
      <c r="I9" s="354">
        <f>234461+255216+188694</f>
        <v>678371</v>
      </c>
    </row>
    <row r="10" spans="1:9" ht="15" customHeight="1">
      <c r="A10" s="216" t="s">
        <v>194</v>
      </c>
      <c r="B10" s="353">
        <v>134</v>
      </c>
      <c r="C10" s="353">
        <v>442328</v>
      </c>
      <c r="D10" s="353">
        <v>134</v>
      </c>
      <c r="E10" s="353">
        <v>442328</v>
      </c>
      <c r="F10" s="353">
        <v>73</v>
      </c>
      <c r="G10" s="353">
        <v>195317</v>
      </c>
      <c r="H10" s="353">
        <v>73</v>
      </c>
      <c r="I10" s="354">
        <v>195317</v>
      </c>
    </row>
    <row r="11" spans="1:9" ht="15" customHeight="1">
      <c r="A11" s="216" t="s">
        <v>195</v>
      </c>
      <c r="B11" s="353">
        <v>45</v>
      </c>
      <c r="C11" s="353">
        <v>133950</v>
      </c>
      <c r="D11" s="353">
        <v>43</v>
      </c>
      <c r="E11" s="353">
        <v>128768</v>
      </c>
      <c r="F11" s="353">
        <f>68+109</f>
        <v>177</v>
      </c>
      <c r="G11" s="353">
        <f>171024+295291</f>
        <v>466315</v>
      </c>
      <c r="H11" s="353">
        <f>65+102</f>
        <v>167</v>
      </c>
      <c r="I11" s="354">
        <f>168184+282186</f>
        <v>450370</v>
      </c>
    </row>
    <row r="12" spans="1:9" ht="15" customHeight="1" thickBot="1">
      <c r="A12" s="217" t="s">
        <v>196</v>
      </c>
      <c r="B12" s="355">
        <v>69</v>
      </c>
      <c r="C12" s="355">
        <v>226678</v>
      </c>
      <c r="D12" s="355">
        <v>69</v>
      </c>
      <c r="E12" s="355">
        <v>226678</v>
      </c>
      <c r="F12" s="355">
        <v>296</v>
      </c>
      <c r="G12" s="355">
        <v>549859</v>
      </c>
      <c r="H12" s="355">
        <v>270</v>
      </c>
      <c r="I12" s="356">
        <v>530013</v>
      </c>
    </row>
    <row r="13" spans="1:9" ht="15" customHeight="1" thickTop="1">
      <c r="A13" s="172" t="s">
        <v>197</v>
      </c>
      <c r="F13" s="218"/>
      <c r="G13" s="218"/>
      <c r="H13" s="218"/>
      <c r="I13" s="218"/>
    </row>
    <row r="14" spans="1:9" ht="15" customHeight="1">
      <c r="A14" s="216"/>
      <c r="B14" s="218"/>
      <c r="C14" s="218"/>
      <c r="D14" s="218"/>
      <c r="E14" s="218"/>
      <c r="F14" s="218"/>
      <c r="G14" s="218"/>
      <c r="H14" s="218"/>
      <c r="I14" s="218"/>
    </row>
    <row r="15" spans="1:9" ht="15" customHeight="1">
      <c r="A15" s="216"/>
      <c r="B15" s="218"/>
      <c r="C15" s="218"/>
      <c r="D15" s="218"/>
      <c r="E15" s="218"/>
      <c r="F15" s="218"/>
      <c r="G15" s="218"/>
      <c r="H15" s="218"/>
      <c r="I15" s="218"/>
    </row>
    <row r="16" ht="15" customHeight="1">
      <c r="A16" s="172"/>
    </row>
  </sheetData>
  <mergeCells count="4">
    <mergeCell ref="B4:B5"/>
    <mergeCell ref="C4:C5"/>
    <mergeCell ref="F4:F5"/>
    <mergeCell ref="G4:G5"/>
  </mergeCells>
  <printOptions/>
  <pageMargins left="0.32" right="0.16" top="1" bottom="1" header="0.512" footer="0.512"/>
  <pageSetup horizontalDpi="600" verticalDpi="600" orientation="portrait" paperSize="9" r:id="rId1"/>
  <headerFooter alignWithMargins="0">
    <oddHeader>&amp;R&amp;D   &amp;T</oddHeader>
  </headerFooter>
</worksheet>
</file>

<file path=xl/worksheets/sheet15.xml><?xml version="1.0" encoding="utf-8"?>
<worksheet xmlns="http://schemas.openxmlformats.org/spreadsheetml/2006/main" xmlns:r="http://schemas.openxmlformats.org/officeDocument/2006/relationships">
  <dimension ref="A1:N22"/>
  <sheetViews>
    <sheetView workbookViewId="0" topLeftCell="A1">
      <selection activeCell="A1" sqref="A1"/>
    </sheetView>
  </sheetViews>
  <sheetFormatPr defaultColWidth="9.00390625" defaultRowHeight="15" customHeight="1"/>
  <cols>
    <col min="1" max="1" width="1.625" style="202" customWidth="1"/>
    <col min="2" max="2" width="6.75390625" style="172" customWidth="1"/>
    <col min="3" max="3" width="1.00390625" style="172" customWidth="1"/>
    <col min="4" max="4" width="13.25390625" style="172" customWidth="1"/>
    <col min="5" max="5" width="8.625" style="243" customWidth="1"/>
    <col min="6" max="6" width="8.375" style="243" customWidth="1"/>
    <col min="7" max="7" width="8.75390625" style="243" customWidth="1"/>
    <col min="8" max="8" width="8.625" style="243" customWidth="1"/>
    <col min="9" max="9" width="8.50390625" style="243" customWidth="1"/>
    <col min="10" max="10" width="8.375" style="243" customWidth="1"/>
    <col min="11" max="12" width="8.00390625" style="243" customWidth="1"/>
    <col min="13" max="13" width="7.875" style="243" customWidth="1"/>
    <col min="14" max="14" width="9.00390625" style="202" customWidth="1"/>
    <col min="15" max="16384" width="9.00390625" style="172" customWidth="1"/>
  </cols>
  <sheetData>
    <row r="1" spans="1:14" ht="21" customHeight="1">
      <c r="A1" s="219"/>
      <c r="B1" s="112" t="s">
        <v>363</v>
      </c>
      <c r="C1" s="112"/>
      <c r="D1" s="111"/>
      <c r="E1" s="220"/>
      <c r="F1" s="220"/>
      <c r="G1" s="220"/>
      <c r="H1" s="220"/>
      <c r="I1" s="220"/>
      <c r="J1" s="220"/>
      <c r="K1" s="220"/>
      <c r="L1" s="220"/>
      <c r="M1" s="220"/>
      <c r="N1" s="219"/>
    </row>
    <row r="2" spans="1:14" ht="15" customHeight="1" thickBot="1">
      <c r="A2" s="219"/>
      <c r="B2" s="111"/>
      <c r="C2" s="111"/>
      <c r="D2" s="111"/>
      <c r="E2" s="220"/>
      <c r="F2" s="220"/>
      <c r="G2" s="220"/>
      <c r="H2" s="220"/>
      <c r="I2" s="220"/>
      <c r="J2" s="220"/>
      <c r="K2" s="220"/>
      <c r="L2" s="220"/>
      <c r="M2" s="221" t="s">
        <v>377</v>
      </c>
      <c r="N2" s="219"/>
    </row>
    <row r="3" spans="1:14" ht="15" customHeight="1" thickTop="1">
      <c r="A3" s="219"/>
      <c r="B3" s="116" t="s">
        <v>203</v>
      </c>
      <c r="C3" s="116"/>
      <c r="D3" s="117"/>
      <c r="E3" s="222" t="s">
        <v>198</v>
      </c>
      <c r="F3" s="222"/>
      <c r="G3" s="223"/>
      <c r="H3" s="222" t="s">
        <v>199</v>
      </c>
      <c r="I3" s="222"/>
      <c r="J3" s="223"/>
      <c r="K3" s="222" t="s">
        <v>200</v>
      </c>
      <c r="L3" s="222"/>
      <c r="M3" s="222"/>
      <c r="N3" s="219"/>
    </row>
    <row r="4" spans="1:14" ht="15" customHeight="1">
      <c r="A4" s="219"/>
      <c r="B4" s="224" t="s">
        <v>201</v>
      </c>
      <c r="C4" s="224"/>
      <c r="D4" s="225"/>
      <c r="E4" s="226" t="s">
        <v>138</v>
      </c>
      <c r="F4" s="227" t="s">
        <v>116</v>
      </c>
      <c r="G4" s="227" t="s">
        <v>117</v>
      </c>
      <c r="H4" s="227" t="s">
        <v>138</v>
      </c>
      <c r="I4" s="227" t="s">
        <v>116</v>
      </c>
      <c r="J4" s="227" t="s">
        <v>117</v>
      </c>
      <c r="K4" s="227" t="s">
        <v>138</v>
      </c>
      <c r="L4" s="227" t="s">
        <v>116</v>
      </c>
      <c r="M4" s="228" t="s">
        <v>117</v>
      </c>
      <c r="N4" s="219"/>
    </row>
    <row r="5" spans="1:14" ht="15" customHeight="1">
      <c r="A5" s="219"/>
      <c r="B5" s="229"/>
      <c r="C5" s="229"/>
      <c r="D5" s="230"/>
      <c r="E5" s="231"/>
      <c r="F5" s="232"/>
      <c r="G5" s="232"/>
      <c r="H5" s="232"/>
      <c r="I5" s="232"/>
      <c r="J5" s="232"/>
      <c r="K5" s="232"/>
      <c r="L5" s="232"/>
      <c r="M5" s="233"/>
      <c r="N5" s="219"/>
    </row>
    <row r="6" spans="1:14" ht="15" customHeight="1">
      <c r="A6" s="219"/>
      <c r="B6" s="234" t="s">
        <v>364</v>
      </c>
      <c r="C6" s="234"/>
      <c r="D6" s="235" t="s">
        <v>365</v>
      </c>
      <c r="E6" s="357">
        <f>SUM(E8:E20)</f>
        <v>32742668</v>
      </c>
      <c r="F6" s="358">
        <f>SUM(F8:F20)</f>
        <v>10693772</v>
      </c>
      <c r="G6" s="358">
        <f>SUM(G8:G20)</f>
        <v>22048896</v>
      </c>
      <c r="H6" s="358">
        <f>SUM(I6:J6)</f>
        <v>10016835</v>
      </c>
      <c r="I6" s="358">
        <f>SUM(I8:I20)</f>
        <v>9610282</v>
      </c>
      <c r="J6" s="358">
        <f>SUM(J8:J20)</f>
        <v>406553</v>
      </c>
      <c r="K6" s="358">
        <f>SUM(K8:K20)</f>
        <v>22725833</v>
      </c>
      <c r="L6" s="358">
        <f>SUM(L8:L20)</f>
        <v>1083490</v>
      </c>
      <c r="M6" s="359">
        <f>SUM(M8:M20)</f>
        <v>21642343</v>
      </c>
      <c r="N6" s="219"/>
    </row>
    <row r="7" spans="1:14" ht="15" customHeight="1">
      <c r="A7" s="219"/>
      <c r="B7" s="219"/>
      <c r="C7" s="219"/>
      <c r="D7" s="236"/>
      <c r="E7" s="360"/>
      <c r="F7" s="361"/>
      <c r="G7" s="361"/>
      <c r="H7" s="361"/>
      <c r="I7" s="361"/>
      <c r="J7" s="361"/>
      <c r="K7" s="361"/>
      <c r="L7" s="361"/>
      <c r="M7" s="362"/>
      <c r="N7" s="219"/>
    </row>
    <row r="8" spans="1:14" ht="15" customHeight="1">
      <c r="A8" s="219"/>
      <c r="B8" s="486" t="s">
        <v>204</v>
      </c>
      <c r="C8" s="216"/>
      <c r="D8" s="488" t="s">
        <v>205</v>
      </c>
      <c r="E8" s="482">
        <f>F8+G8</f>
        <v>7222014</v>
      </c>
      <c r="F8" s="482">
        <f>I8+L8</f>
        <v>2251450</v>
      </c>
      <c r="G8" s="482">
        <f>J8+M8</f>
        <v>4970564</v>
      </c>
      <c r="H8" s="482">
        <f>I8+J8</f>
        <v>2079698</v>
      </c>
      <c r="I8" s="482">
        <v>2026833</v>
      </c>
      <c r="J8" s="482">
        <v>52865</v>
      </c>
      <c r="K8" s="482">
        <f>L8+M8</f>
        <v>5142316</v>
      </c>
      <c r="L8" s="482">
        <v>224617</v>
      </c>
      <c r="M8" s="484">
        <v>4917699</v>
      </c>
      <c r="N8" s="219"/>
    </row>
    <row r="9" spans="1:14" ht="15" customHeight="1">
      <c r="A9" s="219"/>
      <c r="B9" s="487"/>
      <c r="C9" s="216"/>
      <c r="D9" s="488"/>
      <c r="E9" s="482"/>
      <c r="F9" s="482"/>
      <c r="G9" s="482"/>
      <c r="H9" s="482"/>
      <c r="I9" s="483"/>
      <c r="J9" s="483"/>
      <c r="K9" s="482"/>
      <c r="L9" s="483"/>
      <c r="M9" s="485"/>
      <c r="N9" s="219"/>
    </row>
    <row r="10" spans="1:14" ht="15" customHeight="1">
      <c r="A10" s="219"/>
      <c r="B10" s="216"/>
      <c r="C10" s="216"/>
      <c r="D10" s="237"/>
      <c r="E10" s="360"/>
      <c r="F10" s="361"/>
      <c r="G10" s="361"/>
      <c r="H10" s="361"/>
      <c r="I10" s="361"/>
      <c r="J10" s="361"/>
      <c r="K10" s="361"/>
      <c r="L10" s="361"/>
      <c r="M10" s="362"/>
      <c r="N10" s="219"/>
    </row>
    <row r="11" spans="1:14" ht="15" customHeight="1">
      <c r="A11" s="219"/>
      <c r="B11" s="486" t="s">
        <v>202</v>
      </c>
      <c r="C11" s="216"/>
      <c r="D11" s="488" t="s">
        <v>206</v>
      </c>
      <c r="E11" s="360"/>
      <c r="F11" s="361"/>
      <c r="G11" s="361"/>
      <c r="H11" s="361"/>
      <c r="I11" s="361"/>
      <c r="J11" s="361"/>
      <c r="K11" s="361"/>
      <c r="L11" s="361"/>
      <c r="M11" s="362"/>
      <c r="N11" s="219"/>
    </row>
    <row r="12" spans="1:14" ht="15" customHeight="1">
      <c r="A12" s="219"/>
      <c r="B12" s="487"/>
      <c r="C12" s="216"/>
      <c r="D12" s="488"/>
      <c r="E12" s="364">
        <f>F12+G12</f>
        <v>11420979</v>
      </c>
      <c r="F12" s="365">
        <f>I12+L12</f>
        <v>4616298</v>
      </c>
      <c r="G12" s="365">
        <f>J12+M12</f>
        <v>6804681</v>
      </c>
      <c r="H12" s="365">
        <f>I12+J12</f>
        <v>4508337</v>
      </c>
      <c r="I12" s="365">
        <v>4287935</v>
      </c>
      <c r="J12" s="365">
        <v>220402</v>
      </c>
      <c r="K12" s="365">
        <f>L12+M12</f>
        <v>6912642</v>
      </c>
      <c r="L12" s="365">
        <v>328363</v>
      </c>
      <c r="M12" s="366">
        <v>6584279</v>
      </c>
      <c r="N12" s="219"/>
    </row>
    <row r="13" spans="1:14" ht="15" customHeight="1">
      <c r="A13" s="219"/>
      <c r="B13" s="486"/>
      <c r="C13" s="216"/>
      <c r="D13" s="488"/>
      <c r="E13" s="360"/>
      <c r="F13" s="361"/>
      <c r="G13" s="361"/>
      <c r="H13" s="361"/>
      <c r="I13" s="361"/>
      <c r="J13" s="361"/>
      <c r="K13" s="361"/>
      <c r="L13" s="361"/>
      <c r="M13" s="362"/>
      <c r="N13" s="219"/>
    </row>
    <row r="14" spans="1:14" ht="15" customHeight="1">
      <c r="A14" s="219"/>
      <c r="B14" s="216"/>
      <c r="C14" s="216"/>
      <c r="D14" s="237"/>
      <c r="E14" s="360"/>
      <c r="F14" s="361"/>
      <c r="G14" s="361"/>
      <c r="H14" s="361"/>
      <c r="I14" s="361"/>
      <c r="J14" s="361"/>
      <c r="K14" s="361"/>
      <c r="L14" s="361"/>
      <c r="M14" s="362"/>
      <c r="N14" s="219"/>
    </row>
    <row r="15" spans="1:14" ht="15" customHeight="1">
      <c r="A15" s="219"/>
      <c r="B15" s="486" t="s">
        <v>207</v>
      </c>
      <c r="C15" s="216"/>
      <c r="D15" s="488" t="s">
        <v>208</v>
      </c>
      <c r="E15" s="489">
        <f>F15+G15</f>
        <v>5550141</v>
      </c>
      <c r="F15" s="489">
        <f>I15+L15</f>
        <v>1570799</v>
      </c>
      <c r="G15" s="489">
        <f>J15+M15</f>
        <v>3979342</v>
      </c>
      <c r="H15" s="489">
        <f>I15+J15</f>
        <v>1213414</v>
      </c>
      <c r="I15" s="489">
        <v>1192226</v>
      </c>
      <c r="J15" s="489">
        <v>21188</v>
      </c>
      <c r="K15" s="489">
        <f>L15+M15</f>
        <v>4336727</v>
      </c>
      <c r="L15" s="489">
        <v>378573</v>
      </c>
      <c r="M15" s="491">
        <v>3958154</v>
      </c>
      <c r="N15" s="219"/>
    </row>
    <row r="16" spans="1:14" ht="15" customHeight="1">
      <c r="A16" s="219"/>
      <c r="B16" s="486"/>
      <c r="C16" s="216"/>
      <c r="D16" s="488"/>
      <c r="E16" s="489"/>
      <c r="F16" s="489"/>
      <c r="G16" s="489"/>
      <c r="H16" s="489"/>
      <c r="I16" s="490"/>
      <c r="J16" s="490"/>
      <c r="K16" s="489"/>
      <c r="L16" s="490"/>
      <c r="M16" s="492"/>
      <c r="N16" s="219"/>
    </row>
    <row r="17" spans="1:14" ht="15" customHeight="1">
      <c r="A17" s="219"/>
      <c r="B17" s="216"/>
      <c r="C17" s="216"/>
      <c r="D17" s="237"/>
      <c r="E17" s="360"/>
      <c r="F17" s="361"/>
      <c r="G17" s="361"/>
      <c r="H17" s="361"/>
      <c r="I17" s="361"/>
      <c r="J17" s="361"/>
      <c r="K17" s="361"/>
      <c r="L17" s="361"/>
      <c r="M17" s="362"/>
      <c r="N17" s="219"/>
    </row>
    <row r="18" spans="1:14" ht="15" customHeight="1">
      <c r="A18" s="219"/>
      <c r="B18" s="486" t="s">
        <v>366</v>
      </c>
      <c r="C18" s="216"/>
      <c r="D18" s="488" t="s">
        <v>209</v>
      </c>
      <c r="E18" s="482">
        <f>F18+G18</f>
        <v>8549534</v>
      </c>
      <c r="F18" s="482">
        <f>I18+L18</f>
        <v>2255225</v>
      </c>
      <c r="G18" s="482">
        <f>J18+M18</f>
        <v>6294309</v>
      </c>
      <c r="H18" s="482">
        <f>I18+J18</f>
        <v>2215386</v>
      </c>
      <c r="I18" s="482">
        <v>2103288</v>
      </c>
      <c r="J18" s="482">
        <v>112098</v>
      </c>
      <c r="K18" s="482">
        <f>L18+M18</f>
        <v>6334148</v>
      </c>
      <c r="L18" s="482">
        <v>151937</v>
      </c>
      <c r="M18" s="484">
        <v>6182211</v>
      </c>
      <c r="N18" s="219"/>
    </row>
    <row r="19" spans="1:14" ht="15" customHeight="1">
      <c r="A19" s="219"/>
      <c r="B19" s="493"/>
      <c r="C19" s="238"/>
      <c r="D19" s="488"/>
      <c r="E19" s="482"/>
      <c r="F19" s="482"/>
      <c r="G19" s="482"/>
      <c r="H19" s="482"/>
      <c r="I19" s="482"/>
      <c r="J19" s="482"/>
      <c r="K19" s="482"/>
      <c r="L19" s="482"/>
      <c r="M19" s="484"/>
      <c r="N19" s="219"/>
    </row>
    <row r="20" spans="1:14" ht="15" customHeight="1" thickBot="1">
      <c r="A20" s="219"/>
      <c r="B20" s="239"/>
      <c r="C20" s="239"/>
      <c r="D20" s="367"/>
      <c r="E20" s="240"/>
      <c r="F20" s="241"/>
      <c r="G20" s="241"/>
      <c r="H20" s="241"/>
      <c r="I20" s="241"/>
      <c r="J20" s="241"/>
      <c r="K20" s="241"/>
      <c r="L20" s="241"/>
      <c r="M20" s="242"/>
      <c r="N20" s="219"/>
    </row>
    <row r="21" spans="1:14" ht="15" customHeight="1" thickTop="1">
      <c r="A21" s="219"/>
      <c r="B21" s="111" t="s">
        <v>210</v>
      </c>
      <c r="C21" s="111"/>
      <c r="D21" s="111"/>
      <c r="E21" s="220"/>
      <c r="F21" s="220"/>
      <c r="G21" s="220"/>
      <c r="H21" s="220"/>
      <c r="I21" s="220"/>
      <c r="J21" s="220"/>
      <c r="K21" s="220"/>
      <c r="L21" s="220"/>
      <c r="M21" s="220"/>
      <c r="N21" s="219"/>
    </row>
    <row r="22" spans="1:14" ht="15" customHeight="1">
      <c r="A22" s="219"/>
      <c r="B22" s="111"/>
      <c r="C22" s="111"/>
      <c r="D22" s="111"/>
      <c r="E22" s="220"/>
      <c r="F22" s="220"/>
      <c r="G22" s="220"/>
      <c r="H22" s="220"/>
      <c r="I22" s="220"/>
      <c r="J22" s="220"/>
      <c r="K22" s="220"/>
      <c r="L22" s="220"/>
      <c r="M22" s="220"/>
      <c r="N22" s="219"/>
    </row>
  </sheetData>
  <mergeCells count="35">
    <mergeCell ref="J18:J19"/>
    <mergeCell ref="K18:K19"/>
    <mergeCell ref="L18:L19"/>
    <mergeCell ref="M18:M19"/>
    <mergeCell ref="K15:K16"/>
    <mergeCell ref="L15:L16"/>
    <mergeCell ref="M15:M16"/>
    <mergeCell ref="B18:B19"/>
    <mergeCell ref="D18:D19"/>
    <mergeCell ref="E18:E19"/>
    <mergeCell ref="F18:F19"/>
    <mergeCell ref="G18:G19"/>
    <mergeCell ref="H18:H19"/>
    <mergeCell ref="I18:I19"/>
    <mergeCell ref="G15:G16"/>
    <mergeCell ref="H15:H16"/>
    <mergeCell ref="I15:I16"/>
    <mergeCell ref="J15:J16"/>
    <mergeCell ref="B15:B16"/>
    <mergeCell ref="D15:D16"/>
    <mergeCell ref="E15:E16"/>
    <mergeCell ref="F15:F16"/>
    <mergeCell ref="B11:B13"/>
    <mergeCell ref="D11:D13"/>
    <mergeCell ref="G8:G9"/>
    <mergeCell ref="H8:H9"/>
    <mergeCell ref="B8:B9"/>
    <mergeCell ref="D8:D9"/>
    <mergeCell ref="E8:E9"/>
    <mergeCell ref="F8:F9"/>
    <mergeCell ref="K8:K9"/>
    <mergeCell ref="L8:L9"/>
    <mergeCell ref="M8:M9"/>
    <mergeCell ref="I8:I9"/>
    <mergeCell ref="J8:J9"/>
  </mergeCells>
  <printOptions/>
  <pageMargins left="0.38" right="0.33" top="1" bottom="1" header="0.512" footer="0.512"/>
  <pageSetup horizontalDpi="600" verticalDpi="600" orientation="portrait" paperSize="9" r:id="rId1"/>
  <headerFooter alignWithMargins="0">
    <oddHeader>&amp;R&amp;D  &amp;T</oddHeader>
  </headerFooter>
</worksheet>
</file>

<file path=xl/worksheets/sheet16.xml><?xml version="1.0" encoding="utf-8"?>
<worksheet xmlns="http://schemas.openxmlformats.org/spreadsheetml/2006/main" xmlns:r="http://schemas.openxmlformats.org/officeDocument/2006/relationships">
  <dimension ref="B2:L21"/>
  <sheetViews>
    <sheetView workbookViewId="0" topLeftCell="A1">
      <selection activeCell="A1" sqref="A1"/>
    </sheetView>
  </sheetViews>
  <sheetFormatPr defaultColWidth="9.00390625" defaultRowHeight="15" customHeight="1"/>
  <cols>
    <col min="1" max="1" width="3.125" style="170" customWidth="1"/>
    <col min="2" max="2" width="12.625" style="170" customWidth="1"/>
    <col min="3" max="7" width="10.375" style="170" bestFit="1" customWidth="1"/>
    <col min="8" max="8" width="9.50390625" style="170" customWidth="1"/>
    <col min="9" max="9" width="10.375" style="170" bestFit="1" customWidth="1"/>
    <col min="10" max="11" width="9.50390625" style="170" customWidth="1"/>
    <col min="12" max="12" width="2.375" style="170" customWidth="1"/>
    <col min="13" max="16384" width="9.00390625" style="170" customWidth="1"/>
  </cols>
  <sheetData>
    <row r="2" spans="2:5" ht="18" customHeight="1">
      <c r="B2" s="244" t="s">
        <v>254</v>
      </c>
      <c r="C2" s="171"/>
      <c r="D2" s="171"/>
      <c r="E2" s="171"/>
    </row>
    <row r="4" spans="11:12" ht="15" customHeight="1" thickBot="1">
      <c r="K4" s="245" t="s">
        <v>378</v>
      </c>
      <c r="L4" s="172"/>
    </row>
    <row r="5" spans="2:11" ht="15" customHeight="1" thickTop="1">
      <c r="B5" s="494" t="s">
        <v>203</v>
      </c>
      <c r="C5" s="246" t="s">
        <v>211</v>
      </c>
      <c r="D5" s="246"/>
      <c r="E5" s="247"/>
      <c r="F5" s="248" t="s">
        <v>212</v>
      </c>
      <c r="G5" s="249"/>
      <c r="H5" s="250"/>
      <c r="I5" s="246" t="s">
        <v>213</v>
      </c>
      <c r="J5" s="246"/>
      <c r="K5" s="247"/>
    </row>
    <row r="6" spans="2:11" ht="15" customHeight="1">
      <c r="B6" s="495"/>
      <c r="C6" s="251" t="s">
        <v>105</v>
      </c>
      <c r="D6" s="251" t="s">
        <v>116</v>
      </c>
      <c r="E6" s="251" t="s">
        <v>117</v>
      </c>
      <c r="F6" s="251" t="s">
        <v>105</v>
      </c>
      <c r="G6" s="251" t="s">
        <v>116</v>
      </c>
      <c r="H6" s="251" t="s">
        <v>117</v>
      </c>
      <c r="I6" s="251" t="s">
        <v>105</v>
      </c>
      <c r="J6" s="251" t="s">
        <v>116</v>
      </c>
      <c r="K6" s="252" t="s">
        <v>117</v>
      </c>
    </row>
    <row r="7" spans="2:11" ht="15" customHeight="1">
      <c r="B7" s="253"/>
      <c r="C7" s="254"/>
      <c r="D7" s="254"/>
      <c r="E7" s="254"/>
      <c r="F7" s="254"/>
      <c r="G7" s="254"/>
      <c r="H7" s="254"/>
      <c r="I7" s="254"/>
      <c r="J7" s="254"/>
      <c r="K7" s="255"/>
    </row>
    <row r="8" spans="2:11" ht="15" customHeight="1">
      <c r="B8" s="253" t="s">
        <v>362</v>
      </c>
      <c r="C8" s="368">
        <f aca="true" t="shared" si="0" ref="C8:K8">SUM(C10:C13)</f>
        <v>54491644</v>
      </c>
      <c r="D8" s="368">
        <f t="shared" si="0"/>
        <v>35161684</v>
      </c>
      <c r="E8" s="368">
        <f t="shared" si="0"/>
        <v>19329960</v>
      </c>
      <c r="F8" s="368">
        <f t="shared" si="0"/>
        <v>33402818</v>
      </c>
      <c r="G8" s="368">
        <f t="shared" si="0"/>
        <v>33308389</v>
      </c>
      <c r="H8" s="368">
        <f t="shared" si="0"/>
        <v>94429</v>
      </c>
      <c r="I8" s="368">
        <f t="shared" si="0"/>
        <v>21088826</v>
      </c>
      <c r="J8" s="368">
        <f t="shared" si="0"/>
        <v>1853295</v>
      </c>
      <c r="K8" s="369">
        <f t="shared" si="0"/>
        <v>19235531</v>
      </c>
    </row>
    <row r="9" spans="2:11" ht="15" customHeight="1">
      <c r="B9" s="256"/>
      <c r="C9" s="370"/>
      <c r="D9" s="370"/>
      <c r="E9" s="370"/>
      <c r="F9" s="370"/>
      <c r="G9" s="370"/>
      <c r="H9" s="370"/>
      <c r="I9" s="370"/>
      <c r="J9" s="370"/>
      <c r="K9" s="371"/>
    </row>
    <row r="10" spans="2:11" ht="15" customHeight="1">
      <c r="B10" s="253" t="s">
        <v>367</v>
      </c>
      <c r="C10" s="370">
        <f aca="true" t="shared" si="1" ref="C10:E13">F10+I10</f>
        <v>15364145</v>
      </c>
      <c r="D10" s="370">
        <f t="shared" si="1"/>
        <v>9179486</v>
      </c>
      <c r="E10" s="370">
        <f t="shared" si="1"/>
        <v>6184659</v>
      </c>
      <c r="F10" s="370">
        <f>SUM(G10:H10)</f>
        <v>8421542</v>
      </c>
      <c r="G10" s="370">
        <v>8369194</v>
      </c>
      <c r="H10" s="370">
        <v>52348</v>
      </c>
      <c r="I10" s="370">
        <f>SUM(J10:K10)</f>
        <v>6942603</v>
      </c>
      <c r="J10" s="370">
        <v>810292</v>
      </c>
      <c r="K10" s="371">
        <v>6132311</v>
      </c>
    </row>
    <row r="11" spans="2:11" ht="15" customHeight="1">
      <c r="B11" s="253" t="s">
        <v>202</v>
      </c>
      <c r="C11" s="370">
        <f t="shared" si="1"/>
        <v>7274625</v>
      </c>
      <c r="D11" s="370">
        <f t="shared" si="1"/>
        <v>5569295</v>
      </c>
      <c r="E11" s="370">
        <f t="shared" si="1"/>
        <v>1705330</v>
      </c>
      <c r="F11" s="370">
        <f>SUM(G11:H11)</f>
        <v>5568627</v>
      </c>
      <c r="G11" s="370">
        <v>5552040</v>
      </c>
      <c r="H11" s="370">
        <v>16587</v>
      </c>
      <c r="I11" s="370">
        <f>SUM(J11:K11)</f>
        <v>1705998</v>
      </c>
      <c r="J11" s="370">
        <v>17255</v>
      </c>
      <c r="K11" s="371">
        <v>1688743</v>
      </c>
    </row>
    <row r="12" spans="2:11" ht="15" customHeight="1">
      <c r="B12" s="253" t="s">
        <v>368</v>
      </c>
      <c r="C12" s="370">
        <f t="shared" si="1"/>
        <v>17177244</v>
      </c>
      <c r="D12" s="370">
        <f t="shared" si="1"/>
        <v>9570953</v>
      </c>
      <c r="E12" s="370">
        <f t="shared" si="1"/>
        <v>7606291</v>
      </c>
      <c r="F12" s="370">
        <f>SUM(G12:H12)</f>
        <v>8614924</v>
      </c>
      <c r="G12" s="370">
        <v>8606190</v>
      </c>
      <c r="H12" s="370">
        <v>8734</v>
      </c>
      <c r="I12" s="370">
        <f>SUM(J12:K12)</f>
        <v>8562320</v>
      </c>
      <c r="J12" s="370">
        <v>964763</v>
      </c>
      <c r="K12" s="371">
        <v>7597557</v>
      </c>
    </row>
    <row r="13" spans="2:11" ht="15" customHeight="1" thickBot="1">
      <c r="B13" s="257" t="s">
        <v>214</v>
      </c>
      <c r="C13" s="372">
        <f t="shared" si="1"/>
        <v>14675630</v>
      </c>
      <c r="D13" s="372">
        <f t="shared" si="1"/>
        <v>10841950</v>
      </c>
      <c r="E13" s="372">
        <f t="shared" si="1"/>
        <v>3833680</v>
      </c>
      <c r="F13" s="372">
        <f>SUM(G13:H13)</f>
        <v>10797725</v>
      </c>
      <c r="G13" s="372">
        <v>10780965</v>
      </c>
      <c r="H13" s="372">
        <v>16760</v>
      </c>
      <c r="I13" s="372">
        <f>SUM(J13:K13)</f>
        <v>3877905</v>
      </c>
      <c r="J13" s="372">
        <v>60985</v>
      </c>
      <c r="K13" s="373">
        <v>3816920</v>
      </c>
    </row>
    <row r="14" spans="2:11" ht="15" customHeight="1">
      <c r="B14" s="170" t="s">
        <v>215</v>
      </c>
      <c r="C14" s="258"/>
      <c r="D14" s="258"/>
      <c r="E14" s="258"/>
      <c r="F14" s="258"/>
      <c r="G14" s="259"/>
      <c r="H14" s="259"/>
      <c r="I14" s="258"/>
      <c r="J14" s="259"/>
      <c r="K14" s="259"/>
    </row>
    <row r="15" spans="2:11" ht="15" customHeight="1">
      <c r="B15" s="260"/>
      <c r="C15" s="258"/>
      <c r="D15" s="258"/>
      <c r="E15" s="258"/>
      <c r="F15" s="258"/>
      <c r="G15" s="259"/>
      <c r="H15" s="259"/>
      <c r="I15" s="258"/>
      <c r="J15" s="259"/>
      <c r="K15" s="259"/>
    </row>
    <row r="16" spans="2:11" ht="15" customHeight="1">
      <c r="B16" s="260"/>
      <c r="C16" s="258"/>
      <c r="D16" s="258"/>
      <c r="E16" s="258"/>
      <c r="F16" s="258"/>
      <c r="G16" s="258"/>
      <c r="H16" s="258"/>
      <c r="I16" s="258"/>
      <c r="J16" s="258"/>
      <c r="K16" s="258"/>
    </row>
    <row r="18" spans="3:11" ht="15" customHeight="1">
      <c r="C18" s="258"/>
      <c r="D18" s="258"/>
      <c r="E18" s="258"/>
      <c r="F18" s="258"/>
      <c r="G18" s="258"/>
      <c r="H18" s="258"/>
      <c r="I18" s="258"/>
      <c r="J18" s="258"/>
      <c r="K18" s="258"/>
    </row>
    <row r="19" spans="3:11" ht="15" customHeight="1">
      <c r="C19" s="258"/>
      <c r="D19" s="258"/>
      <c r="E19" s="258"/>
      <c r="F19" s="258"/>
      <c r="G19" s="258"/>
      <c r="H19" s="258"/>
      <c r="I19" s="258"/>
      <c r="J19" s="258"/>
      <c r="K19" s="258"/>
    </row>
    <row r="20" spans="3:11" ht="15" customHeight="1">
      <c r="C20" s="258"/>
      <c r="D20" s="258"/>
      <c r="E20" s="258"/>
      <c r="F20" s="258"/>
      <c r="G20" s="258"/>
      <c r="H20" s="258"/>
      <c r="I20" s="258"/>
      <c r="J20" s="258"/>
      <c r="K20" s="258"/>
    </row>
    <row r="21" spans="3:11" ht="15" customHeight="1">
      <c r="C21" s="258"/>
      <c r="D21" s="258"/>
      <c r="E21" s="258"/>
      <c r="F21" s="258"/>
      <c r="G21" s="258"/>
      <c r="H21" s="258"/>
      <c r="I21" s="258"/>
      <c r="J21" s="258"/>
      <c r="K21" s="258"/>
    </row>
  </sheetData>
  <mergeCells count="1">
    <mergeCell ref="B5:B6"/>
  </mergeCells>
  <printOptions/>
  <pageMargins left="0.31" right="0.17" top="1" bottom="1" header="0.512" footer="0.512"/>
  <pageSetup horizontalDpi="600" verticalDpi="600" orientation="portrait" paperSize="9" scale="90" r:id="rId1"/>
  <headerFooter alignWithMargins="0">
    <oddHeader>&amp;R&amp;D  &amp;T</oddHeader>
  </headerFooter>
</worksheet>
</file>

<file path=xl/worksheets/sheet17.xml><?xml version="1.0" encoding="utf-8"?>
<worksheet xmlns="http://schemas.openxmlformats.org/spreadsheetml/2006/main" xmlns:r="http://schemas.openxmlformats.org/officeDocument/2006/relationships">
  <dimension ref="B1:H20"/>
  <sheetViews>
    <sheetView workbookViewId="0" topLeftCell="A1">
      <selection activeCell="B1" sqref="B1"/>
    </sheetView>
  </sheetViews>
  <sheetFormatPr defaultColWidth="9.00390625" defaultRowHeight="15" customHeight="1"/>
  <cols>
    <col min="1" max="1" width="1.625" style="202" customWidth="1"/>
    <col min="2" max="2" width="7.125" style="172" customWidth="1"/>
    <col min="3" max="3" width="2.625" style="172" customWidth="1"/>
    <col min="4" max="4" width="13.25390625" style="172" customWidth="1"/>
    <col min="5" max="7" width="16.625" style="243" customWidth="1"/>
    <col min="8" max="8" width="8.625" style="243" customWidth="1"/>
    <col min="9" max="9" width="9.00390625" style="202" customWidth="1"/>
    <col min="10" max="16384" width="9.00390625" style="172" customWidth="1"/>
  </cols>
  <sheetData>
    <row r="1" spans="2:5" ht="21" customHeight="1">
      <c r="B1" s="112" t="s">
        <v>369</v>
      </c>
      <c r="C1" s="112"/>
      <c r="D1" s="111"/>
      <c r="E1" s="220"/>
    </row>
    <row r="2" spans="6:8" ht="15" customHeight="1" thickBot="1">
      <c r="F2" s="497" t="s">
        <v>379</v>
      </c>
      <c r="G2" s="497"/>
      <c r="H2" s="261"/>
    </row>
    <row r="3" spans="2:8" ht="15" customHeight="1" thickTop="1">
      <c r="B3" s="498" t="s">
        <v>203</v>
      </c>
      <c r="C3" s="499"/>
      <c r="D3" s="500"/>
      <c r="E3" s="501" t="s">
        <v>216</v>
      </c>
      <c r="F3" s="501" t="s">
        <v>217</v>
      </c>
      <c r="G3" s="503" t="s">
        <v>218</v>
      </c>
      <c r="H3" s="261"/>
    </row>
    <row r="4" spans="2:8" ht="15" customHeight="1">
      <c r="B4" s="505" t="s">
        <v>219</v>
      </c>
      <c r="C4" s="506"/>
      <c r="D4" s="507"/>
      <c r="E4" s="502"/>
      <c r="F4" s="502"/>
      <c r="G4" s="504"/>
      <c r="H4" s="262"/>
    </row>
    <row r="5" spans="2:8" ht="15" customHeight="1">
      <c r="B5" s="234" t="s">
        <v>364</v>
      </c>
      <c r="C5" s="234"/>
      <c r="D5" s="235" t="s">
        <v>365</v>
      </c>
      <c r="E5" s="357">
        <f>SUM(E7:E19)</f>
        <v>326240</v>
      </c>
      <c r="F5" s="358">
        <f>SUM(F7:F18)</f>
        <v>60581</v>
      </c>
      <c r="G5" s="359">
        <f>SUM(G7:G18)</f>
        <v>265659</v>
      </c>
      <c r="H5" s="263"/>
    </row>
    <row r="6" spans="2:8" ht="15" customHeight="1">
      <c r="B6" s="219"/>
      <c r="C6" s="219"/>
      <c r="D6" s="236"/>
      <c r="E6" s="360"/>
      <c r="F6" s="361"/>
      <c r="G6" s="363"/>
      <c r="H6" s="264"/>
    </row>
    <row r="7" spans="2:8" ht="15" customHeight="1">
      <c r="B7" s="486" t="s">
        <v>204</v>
      </c>
      <c r="C7" s="216"/>
      <c r="D7" s="488" t="s">
        <v>205</v>
      </c>
      <c r="E7" s="482">
        <f>F7+G7</f>
        <v>70223</v>
      </c>
      <c r="F7" s="482">
        <v>14637</v>
      </c>
      <c r="G7" s="484">
        <v>55586</v>
      </c>
      <c r="H7" s="496"/>
    </row>
    <row r="8" spans="2:8" ht="15" customHeight="1">
      <c r="B8" s="486"/>
      <c r="C8" s="216"/>
      <c r="D8" s="488"/>
      <c r="E8" s="482"/>
      <c r="F8" s="482"/>
      <c r="G8" s="484"/>
      <c r="H8" s="496"/>
    </row>
    <row r="9" spans="2:8" ht="15" customHeight="1">
      <c r="B9" s="216"/>
      <c r="C9" s="216"/>
      <c r="D9" s="237"/>
      <c r="E9" s="360"/>
      <c r="F9" s="361"/>
      <c r="G9" s="363"/>
      <c r="H9" s="264"/>
    </row>
    <row r="10" spans="2:8" ht="15" customHeight="1">
      <c r="B10" s="486" t="s">
        <v>202</v>
      </c>
      <c r="C10" s="216"/>
      <c r="D10" s="488" t="s">
        <v>206</v>
      </c>
      <c r="E10" s="360"/>
      <c r="F10" s="361"/>
      <c r="G10" s="363"/>
      <c r="H10" s="264"/>
    </row>
    <row r="11" spans="2:8" ht="15" customHeight="1">
      <c r="B11" s="486"/>
      <c r="C11" s="216"/>
      <c r="D11" s="488"/>
      <c r="E11" s="360">
        <v>102241</v>
      </c>
      <c r="F11" s="361">
        <v>26339</v>
      </c>
      <c r="G11" s="363">
        <v>75902</v>
      </c>
      <c r="H11" s="264"/>
    </row>
    <row r="12" spans="2:8" ht="15" customHeight="1">
      <c r="B12" s="486"/>
      <c r="C12" s="216"/>
      <c r="D12" s="488"/>
      <c r="E12" s="360"/>
      <c r="F12" s="361"/>
      <c r="G12" s="363"/>
      <c r="H12" s="264"/>
    </row>
    <row r="13" spans="2:8" ht="15" customHeight="1">
      <c r="B13" s="216"/>
      <c r="C13" s="216"/>
      <c r="D13" s="237"/>
      <c r="E13" s="360"/>
      <c r="F13" s="361"/>
      <c r="G13" s="363"/>
      <c r="H13" s="264"/>
    </row>
    <row r="14" spans="2:8" ht="15" customHeight="1">
      <c r="B14" s="486" t="s">
        <v>207</v>
      </c>
      <c r="C14" s="216"/>
      <c r="D14" s="488" t="s">
        <v>208</v>
      </c>
      <c r="E14" s="482">
        <f>F14+G14</f>
        <v>71195</v>
      </c>
      <c r="F14" s="482">
        <v>7093</v>
      </c>
      <c r="G14" s="484">
        <v>64102</v>
      </c>
      <c r="H14" s="496"/>
    </row>
    <row r="15" spans="2:8" ht="15" customHeight="1">
      <c r="B15" s="486"/>
      <c r="C15" s="216"/>
      <c r="D15" s="488"/>
      <c r="E15" s="482"/>
      <c r="F15" s="482"/>
      <c r="G15" s="484"/>
      <c r="H15" s="496"/>
    </row>
    <row r="16" spans="2:8" ht="15" customHeight="1">
      <c r="B16" s="216"/>
      <c r="C16" s="216"/>
      <c r="D16" s="237"/>
      <c r="E16" s="360"/>
      <c r="F16" s="361"/>
      <c r="G16" s="363"/>
      <c r="H16" s="264"/>
    </row>
    <row r="17" spans="2:8" ht="15" customHeight="1">
      <c r="B17" s="486" t="s">
        <v>366</v>
      </c>
      <c r="C17" s="216"/>
      <c r="D17" s="488" t="s">
        <v>209</v>
      </c>
      <c r="E17" s="489">
        <f>F17+G17</f>
        <v>82581</v>
      </c>
      <c r="F17" s="489">
        <v>12512</v>
      </c>
      <c r="G17" s="491">
        <v>70069</v>
      </c>
      <c r="H17" s="264"/>
    </row>
    <row r="18" spans="2:8" ht="15" customHeight="1">
      <c r="B18" s="493"/>
      <c r="C18" s="238"/>
      <c r="D18" s="488"/>
      <c r="E18" s="489"/>
      <c r="F18" s="489"/>
      <c r="G18" s="491"/>
      <c r="H18" s="264"/>
    </row>
    <row r="19" spans="2:8" ht="15" customHeight="1" thickBot="1">
      <c r="B19" s="265"/>
      <c r="C19" s="265"/>
      <c r="D19" s="374"/>
      <c r="E19" s="266"/>
      <c r="F19" s="267"/>
      <c r="G19" s="268"/>
      <c r="H19" s="264"/>
    </row>
    <row r="20" spans="2:8" ht="15" customHeight="1">
      <c r="B20" s="172" t="s">
        <v>210</v>
      </c>
      <c r="E20" s="220"/>
      <c r="F20" s="220"/>
      <c r="G20" s="220"/>
      <c r="H20" s="261"/>
    </row>
  </sheetData>
  <mergeCells count="25">
    <mergeCell ref="F2:G2"/>
    <mergeCell ref="B3:D3"/>
    <mergeCell ref="E3:E4"/>
    <mergeCell ref="F3:F4"/>
    <mergeCell ref="G3:G4"/>
    <mergeCell ref="B4:D4"/>
    <mergeCell ref="H7:H8"/>
    <mergeCell ref="B7:B8"/>
    <mergeCell ref="D7:D8"/>
    <mergeCell ref="E7:E8"/>
    <mergeCell ref="F7:F8"/>
    <mergeCell ref="F14:F15"/>
    <mergeCell ref="B10:B12"/>
    <mergeCell ref="D10:D12"/>
    <mergeCell ref="G7:G8"/>
    <mergeCell ref="G17:G18"/>
    <mergeCell ref="G14:G15"/>
    <mergeCell ref="H14:H15"/>
    <mergeCell ref="B17:B18"/>
    <mergeCell ref="D17:D18"/>
    <mergeCell ref="E17:E18"/>
    <mergeCell ref="F17:F18"/>
    <mergeCell ref="B14:B15"/>
    <mergeCell ref="D14:D15"/>
    <mergeCell ref="E14:E15"/>
  </mergeCells>
  <printOptions/>
  <pageMargins left="0.75" right="0.46" top="1" bottom="1" header="0.512" footer="0.512"/>
  <pageSetup horizontalDpi="600" verticalDpi="600" orientation="portrait" paperSize="9" r:id="rId1"/>
  <headerFooter alignWithMargins="0">
    <oddHeader>&amp;R&amp;D  &amp;T</oddHeader>
  </headerFooter>
</worksheet>
</file>

<file path=xl/worksheets/sheet18.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9.00390625" defaultRowHeight="13.5"/>
  <cols>
    <col min="1" max="1" width="2.625" style="170" customWidth="1"/>
    <col min="2" max="2" width="18.125" style="170" customWidth="1"/>
    <col min="3" max="6" width="18.625" style="170" customWidth="1"/>
    <col min="7" max="16384" width="9.00390625" style="170" customWidth="1"/>
  </cols>
  <sheetData>
    <row r="2" spans="2:4" ht="23.25" customHeight="1">
      <c r="B2" s="244" t="s">
        <v>370</v>
      </c>
      <c r="C2" s="171"/>
      <c r="D2" s="171"/>
    </row>
    <row r="4" ht="12.75" thickBot="1">
      <c r="F4" s="269" t="s">
        <v>380</v>
      </c>
    </row>
    <row r="5" spans="2:6" ht="24.75" customHeight="1" thickTop="1">
      <c r="B5" s="270" t="s">
        <v>222</v>
      </c>
      <c r="C5" s="271" t="s">
        <v>105</v>
      </c>
      <c r="D5" s="271" t="s">
        <v>220</v>
      </c>
      <c r="E5" s="271" t="s">
        <v>221</v>
      </c>
      <c r="F5" s="272" t="s">
        <v>121</v>
      </c>
    </row>
    <row r="6" spans="2:6" ht="12" customHeight="1">
      <c r="B6" s="273"/>
      <c r="C6" s="274"/>
      <c r="D6" s="274"/>
      <c r="E6" s="274"/>
      <c r="F6" s="275"/>
    </row>
    <row r="7" spans="1:6" ht="20.25" customHeight="1">
      <c r="A7" s="171"/>
      <c r="B7" s="375" t="s">
        <v>362</v>
      </c>
      <c r="C7" s="376">
        <f>SUM(D7:F7)</f>
        <v>312639</v>
      </c>
      <c r="D7" s="377">
        <f>SUM(D9:D12)</f>
        <v>122116</v>
      </c>
      <c r="E7" s="377">
        <f>SUM(E9:E12)</f>
        <v>173237</v>
      </c>
      <c r="F7" s="377">
        <f>SUM(F9:F12)</f>
        <v>17286</v>
      </c>
    </row>
    <row r="8" spans="1:6" ht="12" customHeight="1">
      <c r="A8" s="171"/>
      <c r="B8" s="276"/>
      <c r="C8" s="378"/>
      <c r="D8" s="378"/>
      <c r="E8" s="378"/>
      <c r="F8" s="379"/>
    </row>
    <row r="9" spans="1:6" ht="16.5" customHeight="1">
      <c r="A9" s="171"/>
      <c r="B9" s="277" t="s">
        <v>223</v>
      </c>
      <c r="C9" s="378">
        <v>95242</v>
      </c>
      <c r="D9" s="378">
        <v>32702</v>
      </c>
      <c r="E9" s="378">
        <v>59228</v>
      </c>
      <c r="F9" s="379">
        <v>3313</v>
      </c>
    </row>
    <row r="10" spans="1:6" ht="16.5" customHeight="1">
      <c r="A10" s="171"/>
      <c r="B10" s="277" t="s">
        <v>194</v>
      </c>
      <c r="C10" s="378">
        <v>34976</v>
      </c>
      <c r="D10" s="378">
        <v>19997</v>
      </c>
      <c r="E10" s="378">
        <v>13397</v>
      </c>
      <c r="F10" s="379">
        <v>1581</v>
      </c>
    </row>
    <row r="11" spans="1:6" ht="16.5" customHeight="1">
      <c r="A11" s="171"/>
      <c r="B11" s="277" t="s">
        <v>195</v>
      </c>
      <c r="C11" s="378">
        <v>114288</v>
      </c>
      <c r="D11" s="378">
        <v>32643</v>
      </c>
      <c r="E11" s="378">
        <v>75178</v>
      </c>
      <c r="F11" s="379">
        <v>6468</v>
      </c>
    </row>
    <row r="12" spans="1:6" ht="16.5" customHeight="1" thickBot="1">
      <c r="A12" s="171"/>
      <c r="B12" s="278" t="s">
        <v>196</v>
      </c>
      <c r="C12" s="380">
        <f>SUM(D12:F12)</f>
        <v>68132</v>
      </c>
      <c r="D12" s="380">
        <v>36774</v>
      </c>
      <c r="E12" s="380">
        <v>25434</v>
      </c>
      <c r="F12" s="381">
        <v>5924</v>
      </c>
    </row>
    <row r="13" spans="1:6" ht="16.5" customHeight="1">
      <c r="A13" s="171"/>
      <c r="B13" s="171" t="s">
        <v>224</v>
      </c>
      <c r="C13" s="171"/>
      <c r="D13" s="279"/>
      <c r="E13" s="279"/>
      <c r="F13" s="279"/>
    </row>
    <row r="14" spans="2:6" ht="16.5" customHeight="1">
      <c r="B14" s="280"/>
      <c r="C14" s="281"/>
      <c r="D14" s="281"/>
      <c r="E14" s="281"/>
      <c r="F14" s="281"/>
    </row>
    <row r="15" spans="2:6" ht="16.5" customHeight="1">
      <c r="B15" s="280"/>
      <c r="C15" s="281"/>
      <c r="D15" s="281"/>
      <c r="E15" s="281"/>
      <c r="F15" s="281"/>
    </row>
    <row r="16" ht="15" customHeight="1"/>
    <row r="17" spans="3:6" ht="12">
      <c r="C17" s="281"/>
      <c r="D17" s="281"/>
      <c r="E17" s="281"/>
      <c r="F17" s="281"/>
    </row>
    <row r="18" spans="3:6" ht="12">
      <c r="C18" s="281"/>
      <c r="D18" s="281"/>
      <c r="E18" s="281"/>
      <c r="F18" s="281"/>
    </row>
    <row r="19" spans="3:6" ht="12">
      <c r="C19" s="281"/>
      <c r="D19" s="281"/>
      <c r="E19" s="281"/>
      <c r="F19" s="281"/>
    </row>
    <row r="20" spans="3:6" ht="12">
      <c r="C20" s="281"/>
      <c r="D20" s="281"/>
      <c r="E20" s="281"/>
      <c r="F20" s="281"/>
    </row>
  </sheetData>
  <printOptions/>
  <pageMargins left="0.34" right="0.2" top="1" bottom="1" header="0.512" footer="0.512"/>
  <pageSetup horizontalDpi="600" verticalDpi="600" orientation="portrait" paperSize="9" r:id="rId1"/>
  <headerFooter alignWithMargins="0">
    <oddHeader>&amp;R&amp;D  &amp;T</oddHeader>
  </headerFooter>
</worksheet>
</file>

<file path=xl/worksheets/sheet2.xml><?xml version="1.0" encoding="utf-8"?>
<worksheet xmlns="http://schemas.openxmlformats.org/spreadsheetml/2006/main" xmlns:r="http://schemas.openxmlformats.org/officeDocument/2006/relationships">
  <dimension ref="A1:I22"/>
  <sheetViews>
    <sheetView workbookViewId="0" topLeftCell="A1">
      <selection activeCell="A1" sqref="A1:I1"/>
    </sheetView>
  </sheetViews>
  <sheetFormatPr defaultColWidth="9.00390625" defaultRowHeight="13.5"/>
  <cols>
    <col min="1" max="16384" width="9.00390625" style="295" customWidth="1"/>
  </cols>
  <sheetData>
    <row r="1" spans="1:9" ht="15" customHeight="1">
      <c r="A1" s="393" t="s">
        <v>227</v>
      </c>
      <c r="B1" s="393"/>
      <c r="C1" s="393"/>
      <c r="D1" s="393"/>
      <c r="E1" s="393"/>
      <c r="F1" s="393"/>
      <c r="G1" s="393"/>
      <c r="H1" s="393"/>
      <c r="I1" s="393"/>
    </row>
    <row r="2" ht="15" customHeight="1">
      <c r="A2" s="296"/>
    </row>
    <row r="3" ht="15" customHeight="1"/>
    <row r="4" ht="15" customHeight="1">
      <c r="A4" s="295" t="s">
        <v>228</v>
      </c>
    </row>
    <row r="5" ht="15" customHeight="1">
      <c r="A5" s="295" t="s">
        <v>229</v>
      </c>
    </row>
    <row r="6" ht="15" customHeight="1">
      <c r="A6" s="295" t="s">
        <v>230</v>
      </c>
    </row>
    <row r="7" ht="15" customHeight="1">
      <c r="A7" s="295" t="s">
        <v>231</v>
      </c>
    </row>
    <row r="8" ht="15" customHeight="1">
      <c r="A8" s="295" t="s">
        <v>232</v>
      </c>
    </row>
    <row r="9" ht="15" customHeight="1">
      <c r="A9" s="295" t="s">
        <v>233</v>
      </c>
    </row>
    <row r="10" ht="15" customHeight="1"/>
    <row r="11" ht="15" customHeight="1">
      <c r="A11" s="295" t="s">
        <v>234</v>
      </c>
    </row>
    <row r="12" s="297" customFormat="1" ht="22.5" customHeight="1">
      <c r="A12" s="297" t="s">
        <v>235</v>
      </c>
    </row>
    <row r="13" ht="15" customHeight="1">
      <c r="A13" s="295" t="s">
        <v>236</v>
      </c>
    </row>
    <row r="14" ht="15" customHeight="1">
      <c r="A14" s="295" t="s">
        <v>237</v>
      </c>
    </row>
    <row r="15" ht="22.5" customHeight="1">
      <c r="A15" s="297" t="s">
        <v>238</v>
      </c>
    </row>
    <row r="16" ht="15" customHeight="1">
      <c r="A16" s="295" t="s">
        <v>239</v>
      </c>
    </row>
    <row r="17" ht="15" customHeight="1"/>
    <row r="18" ht="15" customHeight="1">
      <c r="A18" s="295" t="s">
        <v>240</v>
      </c>
    </row>
    <row r="19" ht="22.5" customHeight="1">
      <c r="A19" s="297" t="s">
        <v>241</v>
      </c>
    </row>
    <row r="20" ht="15" customHeight="1">
      <c r="A20" s="295" t="s">
        <v>242</v>
      </c>
    </row>
    <row r="21" ht="15" customHeight="1">
      <c r="A21" s="295" t="s">
        <v>243</v>
      </c>
    </row>
    <row r="22" ht="15" customHeight="1">
      <c r="A22" s="295" t="s">
        <v>244</v>
      </c>
    </row>
  </sheetData>
  <mergeCells count="1">
    <mergeCell ref="A1:I1"/>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N65"/>
  <sheetViews>
    <sheetView workbookViewId="0" topLeftCell="A1">
      <selection activeCell="A1" sqref="A1"/>
    </sheetView>
  </sheetViews>
  <sheetFormatPr defaultColWidth="9.00390625" defaultRowHeight="13.5"/>
  <cols>
    <col min="1" max="2" width="9.50390625" style="20" customWidth="1"/>
    <col min="3" max="3" width="9.125" style="21" customWidth="1"/>
    <col min="4" max="4" width="9.00390625" style="21" customWidth="1"/>
    <col min="5" max="14" width="9.125" style="22" customWidth="1"/>
    <col min="15" max="15" width="2.625" style="5" customWidth="1"/>
    <col min="16" max="16384" width="14.125" style="5" customWidth="1"/>
  </cols>
  <sheetData>
    <row r="1" spans="1:14" ht="18" customHeight="1">
      <c r="A1" s="1" t="s">
        <v>5</v>
      </c>
      <c r="B1" s="2"/>
      <c r="C1" s="1"/>
      <c r="D1" s="3"/>
      <c r="E1" s="3"/>
      <c r="F1" s="3"/>
      <c r="G1" s="3"/>
      <c r="H1" s="3"/>
      <c r="I1" s="3"/>
      <c r="J1" s="3"/>
      <c r="K1" s="3"/>
      <c r="L1" s="4"/>
      <c r="M1" s="4"/>
      <c r="N1" s="4"/>
    </row>
    <row r="2" spans="1:14" ht="15" customHeight="1" thickBot="1">
      <c r="A2" s="2"/>
      <c r="B2" s="2"/>
      <c r="C2" s="4"/>
      <c r="D2" s="3"/>
      <c r="E2" s="3"/>
      <c r="F2" s="4"/>
      <c r="G2" s="4"/>
      <c r="H2" s="4"/>
      <c r="I2" s="4"/>
      <c r="J2" s="4"/>
      <c r="K2" s="4"/>
      <c r="L2" s="4"/>
      <c r="M2" s="4"/>
      <c r="N2" s="6" t="s">
        <v>373</v>
      </c>
    </row>
    <row r="3" spans="1:14" ht="9.75" customHeight="1" thickTop="1">
      <c r="A3" s="400" t="s">
        <v>6</v>
      </c>
      <c r="B3" s="394" t="s">
        <v>7</v>
      </c>
      <c r="C3" s="394" t="s">
        <v>8</v>
      </c>
      <c r="D3" s="403" t="s">
        <v>9</v>
      </c>
      <c r="E3" s="394" t="s">
        <v>10</v>
      </c>
      <c r="F3" s="394" t="s">
        <v>255</v>
      </c>
      <c r="G3" s="394" t="s">
        <v>256</v>
      </c>
      <c r="H3" s="394" t="s">
        <v>257</v>
      </c>
      <c r="I3" s="394" t="s">
        <v>258</v>
      </c>
      <c r="J3" s="394" t="s">
        <v>259</v>
      </c>
      <c r="K3" s="394" t="s">
        <v>260</v>
      </c>
      <c r="L3" s="394" t="s">
        <v>261</v>
      </c>
      <c r="M3" s="394" t="s">
        <v>262</v>
      </c>
      <c r="N3" s="397" t="s">
        <v>11</v>
      </c>
    </row>
    <row r="4" spans="1:14" ht="9.75" customHeight="1">
      <c r="A4" s="401"/>
      <c r="B4" s="395"/>
      <c r="C4" s="395"/>
      <c r="D4" s="404"/>
      <c r="E4" s="395"/>
      <c r="F4" s="395"/>
      <c r="G4" s="395"/>
      <c r="H4" s="395"/>
      <c r="I4" s="395"/>
      <c r="J4" s="395"/>
      <c r="K4" s="395"/>
      <c r="L4" s="395"/>
      <c r="M4" s="395"/>
      <c r="N4" s="398"/>
    </row>
    <row r="5" spans="1:14" ht="9.75" customHeight="1">
      <c r="A5" s="401"/>
      <c r="B5" s="395"/>
      <c r="C5" s="395"/>
      <c r="D5" s="404"/>
      <c r="E5" s="395"/>
      <c r="F5" s="395"/>
      <c r="G5" s="395"/>
      <c r="H5" s="395"/>
      <c r="I5" s="395"/>
      <c r="J5" s="395"/>
      <c r="K5" s="395"/>
      <c r="L5" s="395"/>
      <c r="M5" s="395"/>
      <c r="N5" s="398"/>
    </row>
    <row r="6" spans="1:14" ht="9.75" customHeight="1">
      <c r="A6" s="401"/>
      <c r="B6" s="395"/>
      <c r="C6" s="395"/>
      <c r="D6" s="404"/>
      <c r="E6" s="395"/>
      <c r="F6" s="395"/>
      <c r="G6" s="395"/>
      <c r="H6" s="395"/>
      <c r="I6" s="395"/>
      <c r="J6" s="395"/>
      <c r="K6" s="395"/>
      <c r="L6" s="395"/>
      <c r="M6" s="395"/>
      <c r="N6" s="398"/>
    </row>
    <row r="7" spans="1:14" ht="9.75" customHeight="1">
      <c r="A7" s="402"/>
      <c r="B7" s="396"/>
      <c r="C7" s="396"/>
      <c r="D7" s="405"/>
      <c r="E7" s="396"/>
      <c r="F7" s="396"/>
      <c r="G7" s="396"/>
      <c r="H7" s="396"/>
      <c r="I7" s="396"/>
      <c r="J7" s="396"/>
      <c r="K7" s="396"/>
      <c r="L7" s="396"/>
      <c r="M7" s="396"/>
      <c r="N7" s="399"/>
    </row>
    <row r="8" spans="1:14" s="9" customFormat="1" ht="15" customHeight="1">
      <c r="A8" s="13" t="s">
        <v>12</v>
      </c>
      <c r="B8" s="7">
        <v>94769.97</v>
      </c>
      <c r="C8" s="7">
        <v>4388</v>
      </c>
      <c r="D8" s="7">
        <v>44</v>
      </c>
      <c r="E8" s="7">
        <v>26</v>
      </c>
      <c r="F8" s="7">
        <v>1528</v>
      </c>
      <c r="G8" s="7">
        <v>1354</v>
      </c>
      <c r="H8" s="7">
        <v>792</v>
      </c>
      <c r="I8" s="7">
        <v>257</v>
      </c>
      <c r="J8" s="7">
        <v>180</v>
      </c>
      <c r="K8" s="7">
        <v>100</v>
      </c>
      <c r="L8" s="7">
        <v>87</v>
      </c>
      <c r="M8" s="7">
        <v>8</v>
      </c>
      <c r="N8" s="8">
        <v>12</v>
      </c>
    </row>
    <row r="9" spans="1:14" s="9" customFormat="1" ht="7.5" customHeight="1">
      <c r="A9" s="10"/>
      <c r="B9" s="11"/>
      <c r="C9" s="11"/>
      <c r="D9" s="11"/>
      <c r="E9" s="11"/>
      <c r="F9" s="11"/>
      <c r="G9" s="11"/>
      <c r="H9" s="11"/>
      <c r="I9" s="11"/>
      <c r="J9" s="11"/>
      <c r="K9" s="11"/>
      <c r="L9" s="11"/>
      <c r="M9" s="11"/>
      <c r="N9" s="12"/>
    </row>
    <row r="10" spans="1:14" s="9" customFormat="1" ht="15" customHeight="1">
      <c r="A10" s="13" t="s">
        <v>0</v>
      </c>
      <c r="B10" s="7">
        <v>26604.88</v>
      </c>
      <c r="C10" s="7">
        <v>1086</v>
      </c>
      <c r="D10" s="7">
        <v>9</v>
      </c>
      <c r="E10" s="7">
        <v>4</v>
      </c>
      <c r="F10" s="7">
        <v>359</v>
      </c>
      <c r="G10" s="7">
        <v>308</v>
      </c>
      <c r="H10" s="7">
        <v>218</v>
      </c>
      <c r="I10" s="7">
        <v>66</v>
      </c>
      <c r="J10" s="7">
        <v>52</v>
      </c>
      <c r="K10" s="7">
        <v>32</v>
      </c>
      <c r="L10" s="7">
        <v>32</v>
      </c>
      <c r="M10" s="7">
        <v>2</v>
      </c>
      <c r="N10" s="8">
        <v>4</v>
      </c>
    </row>
    <row r="11" spans="1:14" s="9" customFormat="1" ht="15" customHeight="1">
      <c r="A11" s="13" t="s">
        <v>1</v>
      </c>
      <c r="B11" s="7">
        <v>13762.22</v>
      </c>
      <c r="C11" s="7">
        <v>999</v>
      </c>
      <c r="D11" s="7">
        <v>16</v>
      </c>
      <c r="E11" s="7">
        <v>7</v>
      </c>
      <c r="F11" s="7">
        <v>402</v>
      </c>
      <c r="G11" s="7">
        <v>322</v>
      </c>
      <c r="H11" s="7">
        <v>147</v>
      </c>
      <c r="I11" s="7">
        <v>46</v>
      </c>
      <c r="J11" s="7">
        <v>34</v>
      </c>
      <c r="K11" s="7">
        <v>10</v>
      </c>
      <c r="L11" s="7">
        <v>12</v>
      </c>
      <c r="M11" s="7">
        <v>2</v>
      </c>
      <c r="N11" s="8">
        <v>1</v>
      </c>
    </row>
    <row r="12" spans="1:14" s="9" customFormat="1" ht="15" customHeight="1">
      <c r="A12" s="13" t="s">
        <v>2</v>
      </c>
      <c r="B12" s="7">
        <v>30696.77</v>
      </c>
      <c r="C12" s="7">
        <v>532</v>
      </c>
      <c r="D12" s="7">
        <v>15</v>
      </c>
      <c r="E12" s="7">
        <v>8</v>
      </c>
      <c r="F12" s="7">
        <v>129</v>
      </c>
      <c r="G12" s="7">
        <v>123</v>
      </c>
      <c r="H12" s="7">
        <v>105</v>
      </c>
      <c r="I12" s="7">
        <v>42</v>
      </c>
      <c r="J12" s="7">
        <v>43</v>
      </c>
      <c r="K12" s="7">
        <v>28</v>
      </c>
      <c r="L12" s="7">
        <v>31</v>
      </c>
      <c r="M12" s="7">
        <v>3</v>
      </c>
      <c r="N12" s="8">
        <v>5</v>
      </c>
    </row>
    <row r="13" spans="1:14" s="9" customFormat="1" ht="15" customHeight="1">
      <c r="A13" s="13" t="s">
        <v>3</v>
      </c>
      <c r="B13" s="7">
        <v>23706.1</v>
      </c>
      <c r="C13" s="7">
        <v>1771</v>
      </c>
      <c r="D13" s="7">
        <v>4</v>
      </c>
      <c r="E13" s="7">
        <v>7</v>
      </c>
      <c r="F13" s="7">
        <v>638</v>
      </c>
      <c r="G13" s="7">
        <v>601</v>
      </c>
      <c r="H13" s="7">
        <v>322</v>
      </c>
      <c r="I13" s="7">
        <v>103</v>
      </c>
      <c r="J13" s="7">
        <v>51</v>
      </c>
      <c r="K13" s="7">
        <v>30</v>
      </c>
      <c r="L13" s="7">
        <v>12</v>
      </c>
      <c r="M13" s="7">
        <v>1</v>
      </c>
      <c r="N13" s="8">
        <v>2</v>
      </c>
    </row>
    <row r="14" spans="1:14" s="9" customFormat="1" ht="7.5" customHeight="1">
      <c r="A14" s="10"/>
      <c r="B14" s="11"/>
      <c r="C14" s="11"/>
      <c r="D14" s="11"/>
      <c r="E14" s="11"/>
      <c r="F14" s="11"/>
      <c r="G14" s="11"/>
      <c r="H14" s="11"/>
      <c r="I14" s="11"/>
      <c r="J14" s="11"/>
      <c r="K14" s="11"/>
      <c r="L14" s="11"/>
      <c r="M14" s="11"/>
      <c r="N14" s="12"/>
    </row>
    <row r="15" spans="1:14" s="9" customFormat="1" ht="15" customHeight="1">
      <c r="A15" s="10" t="s">
        <v>263</v>
      </c>
      <c r="B15" s="11">
        <v>5359.47</v>
      </c>
      <c r="C15" s="11">
        <v>134</v>
      </c>
      <c r="D15" s="14" t="s">
        <v>4</v>
      </c>
      <c r="E15" s="14" t="s">
        <v>4</v>
      </c>
      <c r="F15" s="11">
        <v>46</v>
      </c>
      <c r="G15" s="11">
        <v>34</v>
      </c>
      <c r="H15" s="11">
        <v>27</v>
      </c>
      <c r="I15" s="11">
        <v>10</v>
      </c>
      <c r="J15" s="11">
        <v>8</v>
      </c>
      <c r="K15" s="11">
        <v>5</v>
      </c>
      <c r="L15" s="11">
        <v>3</v>
      </c>
      <c r="M15" s="14" t="s">
        <v>4</v>
      </c>
      <c r="N15" s="12">
        <v>1</v>
      </c>
    </row>
    <row r="16" spans="1:14" s="9" customFormat="1" ht="15" customHeight="1">
      <c r="A16" s="10" t="s">
        <v>264</v>
      </c>
      <c r="B16" s="11">
        <v>3863.37</v>
      </c>
      <c r="C16" s="11">
        <v>115</v>
      </c>
      <c r="D16" s="11">
        <v>4</v>
      </c>
      <c r="E16" s="11">
        <v>2</v>
      </c>
      <c r="F16" s="11">
        <v>14</v>
      </c>
      <c r="G16" s="11">
        <v>29</v>
      </c>
      <c r="H16" s="11">
        <v>27</v>
      </c>
      <c r="I16" s="11">
        <v>8</v>
      </c>
      <c r="J16" s="11">
        <v>18</v>
      </c>
      <c r="K16" s="11">
        <v>8</v>
      </c>
      <c r="L16" s="11">
        <v>4</v>
      </c>
      <c r="M16" s="14" t="s">
        <v>4</v>
      </c>
      <c r="N16" s="12">
        <v>1</v>
      </c>
    </row>
    <row r="17" spans="1:14" s="9" customFormat="1" ht="15" customHeight="1">
      <c r="A17" s="10" t="s">
        <v>265</v>
      </c>
      <c r="B17" s="11">
        <v>6397.74</v>
      </c>
      <c r="C17" s="11">
        <v>359</v>
      </c>
      <c r="D17" s="11">
        <v>1</v>
      </c>
      <c r="E17" s="11">
        <v>1</v>
      </c>
      <c r="F17" s="11">
        <v>124</v>
      </c>
      <c r="G17" s="11">
        <v>124</v>
      </c>
      <c r="H17" s="11">
        <v>68</v>
      </c>
      <c r="I17" s="11">
        <v>17</v>
      </c>
      <c r="J17" s="11">
        <v>8</v>
      </c>
      <c r="K17" s="11">
        <v>11</v>
      </c>
      <c r="L17" s="11">
        <v>3</v>
      </c>
      <c r="M17" s="11">
        <v>1</v>
      </c>
      <c r="N17" s="12">
        <v>1</v>
      </c>
    </row>
    <row r="18" spans="1:14" s="9" customFormat="1" ht="15" customHeight="1">
      <c r="A18" s="10" t="s">
        <v>266</v>
      </c>
      <c r="B18" s="11">
        <v>319.44</v>
      </c>
      <c r="C18" s="11">
        <v>46</v>
      </c>
      <c r="D18" s="11">
        <v>1</v>
      </c>
      <c r="E18" s="11">
        <v>1</v>
      </c>
      <c r="F18" s="11">
        <v>19</v>
      </c>
      <c r="G18" s="11">
        <v>16</v>
      </c>
      <c r="H18" s="11">
        <v>7</v>
      </c>
      <c r="I18" s="11">
        <v>2</v>
      </c>
      <c r="J18" s="14" t="s">
        <v>4</v>
      </c>
      <c r="K18" s="14" t="s">
        <v>4</v>
      </c>
      <c r="L18" s="14" t="s">
        <v>4</v>
      </c>
      <c r="M18" s="14" t="s">
        <v>4</v>
      </c>
      <c r="N18" s="15" t="s">
        <v>4</v>
      </c>
    </row>
    <row r="19" spans="1:14" s="9" customFormat="1" ht="7.5" customHeight="1">
      <c r="A19" s="10"/>
      <c r="B19" s="11"/>
      <c r="C19" s="11"/>
      <c r="D19" s="11"/>
      <c r="E19" s="11"/>
      <c r="F19" s="11"/>
      <c r="G19" s="11"/>
      <c r="H19" s="11"/>
      <c r="I19" s="11"/>
      <c r="J19" s="14"/>
      <c r="K19" s="14"/>
      <c r="L19" s="14"/>
      <c r="M19" s="14"/>
      <c r="N19" s="15"/>
    </row>
    <row r="20" spans="1:14" s="9" customFormat="1" ht="15" customHeight="1">
      <c r="A20" s="10" t="s">
        <v>267</v>
      </c>
      <c r="B20" s="11">
        <v>3743.56</v>
      </c>
      <c r="C20" s="11">
        <v>81</v>
      </c>
      <c r="D20" s="11">
        <v>3</v>
      </c>
      <c r="E20" s="14" t="s">
        <v>4</v>
      </c>
      <c r="F20" s="11">
        <v>36</v>
      </c>
      <c r="G20" s="11">
        <v>17</v>
      </c>
      <c r="H20" s="11">
        <v>9</v>
      </c>
      <c r="I20" s="11">
        <v>6</v>
      </c>
      <c r="J20" s="11">
        <v>4</v>
      </c>
      <c r="K20" s="11">
        <v>2</v>
      </c>
      <c r="L20" s="11">
        <v>2</v>
      </c>
      <c r="M20" s="11">
        <v>1</v>
      </c>
      <c r="N20" s="12">
        <v>1</v>
      </c>
    </row>
    <row r="21" spans="1:14" s="9" customFormat="1" ht="15" customHeight="1">
      <c r="A21" s="10" t="s">
        <v>268</v>
      </c>
      <c r="B21" s="11">
        <v>581.52</v>
      </c>
      <c r="C21" s="11">
        <v>38</v>
      </c>
      <c r="D21" s="14" t="s">
        <v>4</v>
      </c>
      <c r="E21" s="14" t="s">
        <v>4</v>
      </c>
      <c r="F21" s="11">
        <v>14</v>
      </c>
      <c r="G21" s="11">
        <v>7</v>
      </c>
      <c r="H21" s="11">
        <v>9</v>
      </c>
      <c r="I21" s="11">
        <v>3</v>
      </c>
      <c r="J21" s="11">
        <v>2</v>
      </c>
      <c r="K21" s="11">
        <v>2</v>
      </c>
      <c r="L21" s="11">
        <v>1</v>
      </c>
      <c r="M21" s="14" t="s">
        <v>4</v>
      </c>
      <c r="N21" s="15" t="s">
        <v>4</v>
      </c>
    </row>
    <row r="22" spans="1:14" s="9" customFormat="1" ht="15" customHeight="1">
      <c r="A22" s="10" t="s">
        <v>269</v>
      </c>
      <c r="B22" s="11">
        <v>2433.69</v>
      </c>
      <c r="C22" s="11">
        <v>99</v>
      </c>
      <c r="D22" s="11">
        <v>2</v>
      </c>
      <c r="E22" s="14" t="s">
        <v>4</v>
      </c>
      <c r="F22" s="11">
        <v>24</v>
      </c>
      <c r="G22" s="11">
        <v>34</v>
      </c>
      <c r="H22" s="11">
        <v>17</v>
      </c>
      <c r="I22" s="11">
        <v>6</v>
      </c>
      <c r="J22" s="11">
        <v>5</v>
      </c>
      <c r="K22" s="11">
        <v>6</v>
      </c>
      <c r="L22" s="11">
        <v>5</v>
      </c>
      <c r="M22" s="14" t="s">
        <v>4</v>
      </c>
      <c r="N22" s="15" t="s">
        <v>4</v>
      </c>
    </row>
    <row r="23" spans="1:14" s="9" customFormat="1" ht="15" customHeight="1">
      <c r="A23" s="10" t="s">
        <v>270</v>
      </c>
      <c r="B23" s="11">
        <v>569.07</v>
      </c>
      <c r="C23" s="11">
        <v>65</v>
      </c>
      <c r="D23" s="11">
        <v>2</v>
      </c>
      <c r="E23" s="14" t="s">
        <v>4</v>
      </c>
      <c r="F23" s="11">
        <v>27</v>
      </c>
      <c r="G23" s="11">
        <v>19</v>
      </c>
      <c r="H23" s="11">
        <v>9</v>
      </c>
      <c r="I23" s="11">
        <v>4</v>
      </c>
      <c r="J23" s="11">
        <v>4</v>
      </c>
      <c r="K23" s="14" t="s">
        <v>4</v>
      </c>
      <c r="L23" s="14" t="s">
        <v>4</v>
      </c>
      <c r="M23" s="14" t="s">
        <v>4</v>
      </c>
      <c r="N23" s="15" t="s">
        <v>4</v>
      </c>
    </row>
    <row r="24" spans="1:14" s="9" customFormat="1" ht="7.5" customHeight="1">
      <c r="A24" s="10"/>
      <c r="B24" s="11"/>
      <c r="C24" s="11"/>
      <c r="D24" s="11"/>
      <c r="E24" s="14"/>
      <c r="F24" s="11"/>
      <c r="G24" s="11"/>
      <c r="H24" s="11"/>
      <c r="I24" s="11"/>
      <c r="J24" s="11"/>
      <c r="K24" s="14"/>
      <c r="L24" s="14"/>
      <c r="M24" s="14"/>
      <c r="N24" s="15"/>
    </row>
    <row r="25" spans="1:14" s="9" customFormat="1" ht="15" customHeight="1">
      <c r="A25" s="10" t="s">
        <v>271</v>
      </c>
      <c r="B25" s="11">
        <v>1002.84</v>
      </c>
      <c r="C25" s="11">
        <v>37</v>
      </c>
      <c r="D25" s="14" t="s">
        <v>4</v>
      </c>
      <c r="E25" s="14" t="s">
        <v>4</v>
      </c>
      <c r="F25" s="11">
        <v>9</v>
      </c>
      <c r="G25" s="11">
        <v>6</v>
      </c>
      <c r="H25" s="11">
        <v>12</v>
      </c>
      <c r="I25" s="11">
        <v>6</v>
      </c>
      <c r="J25" s="11">
        <v>2</v>
      </c>
      <c r="K25" s="14" t="s">
        <v>4</v>
      </c>
      <c r="L25" s="11">
        <v>2</v>
      </c>
      <c r="M25" s="14" t="s">
        <v>4</v>
      </c>
      <c r="N25" s="15" t="s">
        <v>4</v>
      </c>
    </row>
    <row r="26" spans="1:14" s="9" customFormat="1" ht="15" customHeight="1">
      <c r="A26" s="10" t="s">
        <v>272</v>
      </c>
      <c r="B26" s="11">
        <v>233.48</v>
      </c>
      <c r="C26" s="11">
        <v>22</v>
      </c>
      <c r="D26" s="11">
        <v>1</v>
      </c>
      <c r="E26" s="14" t="s">
        <v>4</v>
      </c>
      <c r="F26" s="11">
        <v>7</v>
      </c>
      <c r="G26" s="11">
        <v>7</v>
      </c>
      <c r="H26" s="11">
        <v>1</v>
      </c>
      <c r="I26" s="11">
        <v>4</v>
      </c>
      <c r="J26" s="11">
        <v>2</v>
      </c>
      <c r="K26" s="14" t="s">
        <v>4</v>
      </c>
      <c r="L26" s="14" t="s">
        <v>4</v>
      </c>
      <c r="M26" s="14" t="s">
        <v>4</v>
      </c>
      <c r="N26" s="15" t="s">
        <v>4</v>
      </c>
    </row>
    <row r="27" spans="1:14" s="9" customFormat="1" ht="15" customHeight="1">
      <c r="A27" s="10" t="s">
        <v>273</v>
      </c>
      <c r="B27" s="11">
        <v>3389.84</v>
      </c>
      <c r="C27" s="11">
        <v>25</v>
      </c>
      <c r="D27" s="14" t="s">
        <v>4</v>
      </c>
      <c r="E27" s="14" t="s">
        <v>4</v>
      </c>
      <c r="F27" s="11">
        <v>10</v>
      </c>
      <c r="G27" s="11">
        <v>7</v>
      </c>
      <c r="H27" s="11">
        <v>2</v>
      </c>
      <c r="I27" s="11">
        <v>1</v>
      </c>
      <c r="J27" s="14" t="s">
        <v>4</v>
      </c>
      <c r="K27" s="14" t="s">
        <v>4</v>
      </c>
      <c r="L27" s="11">
        <v>3</v>
      </c>
      <c r="M27" s="11">
        <v>1</v>
      </c>
      <c r="N27" s="12">
        <v>1</v>
      </c>
    </row>
    <row r="28" spans="1:14" s="9" customFormat="1" ht="15" customHeight="1">
      <c r="A28" s="10" t="s">
        <v>274</v>
      </c>
      <c r="B28" s="11">
        <v>1787.23</v>
      </c>
      <c r="C28" s="11">
        <v>128</v>
      </c>
      <c r="D28" s="11">
        <v>1</v>
      </c>
      <c r="E28" s="14" t="s">
        <v>4</v>
      </c>
      <c r="F28" s="11">
        <v>44</v>
      </c>
      <c r="G28" s="11">
        <v>39</v>
      </c>
      <c r="H28" s="11">
        <v>29</v>
      </c>
      <c r="I28" s="11">
        <v>3</v>
      </c>
      <c r="J28" s="11">
        <v>5</v>
      </c>
      <c r="K28" s="11">
        <v>4</v>
      </c>
      <c r="L28" s="11">
        <v>3</v>
      </c>
      <c r="M28" s="14" t="s">
        <v>4</v>
      </c>
      <c r="N28" s="15" t="s">
        <v>4</v>
      </c>
    </row>
    <row r="29" spans="1:14" s="9" customFormat="1" ht="15" customHeight="1">
      <c r="A29" s="10" t="s">
        <v>275</v>
      </c>
      <c r="B29" s="11">
        <v>6024.79</v>
      </c>
      <c r="C29" s="11">
        <v>95</v>
      </c>
      <c r="D29" s="11">
        <v>1</v>
      </c>
      <c r="E29" s="11">
        <v>1</v>
      </c>
      <c r="F29" s="11">
        <v>19</v>
      </c>
      <c r="G29" s="11">
        <v>20</v>
      </c>
      <c r="H29" s="11">
        <v>21</v>
      </c>
      <c r="I29" s="11">
        <v>15</v>
      </c>
      <c r="J29" s="11">
        <v>4</v>
      </c>
      <c r="K29" s="11">
        <v>3</v>
      </c>
      <c r="L29" s="11">
        <v>9</v>
      </c>
      <c r="M29" s="11">
        <v>1</v>
      </c>
      <c r="N29" s="12">
        <v>1</v>
      </c>
    </row>
    <row r="30" spans="1:14" s="9" customFormat="1" ht="7.5" customHeight="1">
      <c r="A30" s="10"/>
      <c r="B30" s="11"/>
      <c r="C30" s="11"/>
      <c r="D30" s="11"/>
      <c r="E30" s="11"/>
      <c r="F30" s="11"/>
      <c r="G30" s="11"/>
      <c r="H30" s="11"/>
      <c r="I30" s="11"/>
      <c r="J30" s="11"/>
      <c r="K30" s="11"/>
      <c r="L30" s="11"/>
      <c r="M30" s="11"/>
      <c r="N30" s="12"/>
    </row>
    <row r="31" spans="1:14" s="9" customFormat="1" ht="15" customHeight="1">
      <c r="A31" s="10" t="s">
        <v>276</v>
      </c>
      <c r="B31" s="11">
        <v>172.74</v>
      </c>
      <c r="C31" s="11">
        <v>23</v>
      </c>
      <c r="D31" s="14" t="s">
        <v>4</v>
      </c>
      <c r="E31" s="11">
        <v>1</v>
      </c>
      <c r="F31" s="11">
        <v>6</v>
      </c>
      <c r="G31" s="11">
        <v>7</v>
      </c>
      <c r="H31" s="11">
        <v>9</v>
      </c>
      <c r="I31" s="14" t="s">
        <v>4</v>
      </c>
      <c r="J31" s="14" t="s">
        <v>4</v>
      </c>
      <c r="K31" s="14" t="s">
        <v>4</v>
      </c>
      <c r="L31" s="14" t="s">
        <v>4</v>
      </c>
      <c r="M31" s="14" t="s">
        <v>4</v>
      </c>
      <c r="N31" s="15" t="s">
        <v>4</v>
      </c>
    </row>
    <row r="32" spans="1:14" s="9" customFormat="1" ht="15" customHeight="1">
      <c r="A32" s="10" t="s">
        <v>277</v>
      </c>
      <c r="B32" s="11">
        <v>97.54</v>
      </c>
      <c r="C32" s="11">
        <v>8</v>
      </c>
      <c r="D32" s="14" t="s">
        <v>4</v>
      </c>
      <c r="E32" s="14" t="s">
        <v>4</v>
      </c>
      <c r="F32" s="11">
        <v>2</v>
      </c>
      <c r="G32" s="11">
        <v>1</v>
      </c>
      <c r="H32" s="11">
        <v>4</v>
      </c>
      <c r="I32" s="11">
        <v>1</v>
      </c>
      <c r="J32" s="14" t="s">
        <v>4</v>
      </c>
      <c r="K32" s="14" t="s">
        <v>4</v>
      </c>
      <c r="L32" s="14" t="s">
        <v>4</v>
      </c>
      <c r="M32" s="14" t="s">
        <v>4</v>
      </c>
      <c r="N32" s="15" t="s">
        <v>4</v>
      </c>
    </row>
    <row r="33" spans="1:14" s="9" customFormat="1" ht="15" customHeight="1">
      <c r="A33" s="10" t="s">
        <v>278</v>
      </c>
      <c r="B33" s="11">
        <v>820.86</v>
      </c>
      <c r="C33" s="11">
        <v>90</v>
      </c>
      <c r="D33" s="11">
        <v>1</v>
      </c>
      <c r="E33" s="14" t="s">
        <v>4</v>
      </c>
      <c r="F33" s="11">
        <v>38</v>
      </c>
      <c r="G33" s="11">
        <v>34</v>
      </c>
      <c r="H33" s="11">
        <v>13</v>
      </c>
      <c r="I33" s="11">
        <v>1</v>
      </c>
      <c r="J33" s="11">
        <v>1</v>
      </c>
      <c r="K33" s="14" t="s">
        <v>4</v>
      </c>
      <c r="L33" s="11">
        <v>2</v>
      </c>
      <c r="M33" s="14" t="s">
        <v>4</v>
      </c>
      <c r="N33" s="15" t="s">
        <v>4</v>
      </c>
    </row>
    <row r="34" spans="1:14" s="9" customFormat="1" ht="15" customHeight="1">
      <c r="A34" s="10" t="s">
        <v>279</v>
      </c>
      <c r="B34" s="11">
        <v>6111.17</v>
      </c>
      <c r="C34" s="11">
        <v>223</v>
      </c>
      <c r="D34" s="14" t="s">
        <v>4</v>
      </c>
      <c r="E34" s="11">
        <v>2</v>
      </c>
      <c r="F34" s="11">
        <v>74</v>
      </c>
      <c r="G34" s="11">
        <v>64</v>
      </c>
      <c r="H34" s="11">
        <v>40</v>
      </c>
      <c r="I34" s="11">
        <v>13</v>
      </c>
      <c r="J34" s="11">
        <v>13</v>
      </c>
      <c r="K34" s="11">
        <v>7</v>
      </c>
      <c r="L34" s="11">
        <v>8</v>
      </c>
      <c r="M34" s="11">
        <v>1</v>
      </c>
      <c r="N34" s="12">
        <v>1</v>
      </c>
    </row>
    <row r="35" spans="1:14" s="9" customFormat="1" ht="15" customHeight="1">
      <c r="A35" s="10" t="s">
        <v>280</v>
      </c>
      <c r="B35" s="11">
        <v>2533.3</v>
      </c>
      <c r="C35" s="11">
        <v>93</v>
      </c>
      <c r="D35" s="14" t="s">
        <v>4</v>
      </c>
      <c r="E35" s="11">
        <v>1</v>
      </c>
      <c r="F35" s="11">
        <v>24</v>
      </c>
      <c r="G35" s="11">
        <v>21</v>
      </c>
      <c r="H35" s="11">
        <v>27</v>
      </c>
      <c r="I35" s="11">
        <v>8</v>
      </c>
      <c r="J35" s="11">
        <v>4</v>
      </c>
      <c r="K35" s="11">
        <v>5</v>
      </c>
      <c r="L35" s="11">
        <v>2</v>
      </c>
      <c r="M35" s="14" t="s">
        <v>4</v>
      </c>
      <c r="N35" s="12">
        <v>1</v>
      </c>
    </row>
    <row r="36" spans="1:14" s="9" customFormat="1" ht="15" customHeight="1">
      <c r="A36" s="10" t="s">
        <v>281</v>
      </c>
      <c r="B36" s="11">
        <v>2284.11</v>
      </c>
      <c r="C36" s="11">
        <v>110</v>
      </c>
      <c r="D36" s="11">
        <v>1</v>
      </c>
      <c r="E36" s="14" t="s">
        <v>4</v>
      </c>
      <c r="F36" s="11">
        <v>31</v>
      </c>
      <c r="G36" s="11">
        <v>30</v>
      </c>
      <c r="H36" s="11">
        <v>23</v>
      </c>
      <c r="I36" s="11">
        <v>9</v>
      </c>
      <c r="J36" s="11">
        <v>8</v>
      </c>
      <c r="K36" s="11">
        <v>3</v>
      </c>
      <c r="L36" s="11">
        <v>5</v>
      </c>
      <c r="M36" s="14" t="s">
        <v>4</v>
      </c>
      <c r="N36" s="15" t="s">
        <v>4</v>
      </c>
    </row>
    <row r="37" spans="1:14" s="9" customFormat="1" ht="15" customHeight="1">
      <c r="A37" s="10" t="s">
        <v>282</v>
      </c>
      <c r="B37" s="11">
        <v>230.86</v>
      </c>
      <c r="C37" s="11">
        <v>28</v>
      </c>
      <c r="D37" s="11">
        <v>1</v>
      </c>
      <c r="E37" s="14" t="s">
        <v>4</v>
      </c>
      <c r="F37" s="11">
        <v>12</v>
      </c>
      <c r="G37" s="11">
        <v>4</v>
      </c>
      <c r="H37" s="11">
        <v>8</v>
      </c>
      <c r="I37" s="11">
        <v>3</v>
      </c>
      <c r="J37" s="14" t="s">
        <v>4</v>
      </c>
      <c r="K37" s="14" t="s">
        <v>4</v>
      </c>
      <c r="L37" s="14" t="s">
        <v>4</v>
      </c>
      <c r="M37" s="14" t="s">
        <v>4</v>
      </c>
      <c r="N37" s="15" t="s">
        <v>4</v>
      </c>
    </row>
    <row r="38" spans="1:14" s="9" customFormat="1" ht="7.5" customHeight="1">
      <c r="A38" s="10"/>
      <c r="B38" s="11"/>
      <c r="C38" s="11"/>
      <c r="D38" s="11"/>
      <c r="E38" s="14"/>
      <c r="F38" s="11"/>
      <c r="G38" s="11"/>
      <c r="H38" s="11"/>
      <c r="I38" s="11"/>
      <c r="J38" s="14"/>
      <c r="K38" s="14"/>
      <c r="L38" s="14"/>
      <c r="M38" s="14"/>
      <c r="N38" s="15"/>
    </row>
    <row r="39" spans="1:14" s="9" customFormat="1" ht="15" customHeight="1">
      <c r="A39" s="10" t="s">
        <v>283</v>
      </c>
      <c r="B39" s="11">
        <v>3416.92</v>
      </c>
      <c r="C39" s="11">
        <v>193</v>
      </c>
      <c r="D39" s="11">
        <v>1</v>
      </c>
      <c r="E39" s="11">
        <v>1</v>
      </c>
      <c r="F39" s="11">
        <v>63</v>
      </c>
      <c r="G39" s="11">
        <v>67</v>
      </c>
      <c r="H39" s="11">
        <v>36</v>
      </c>
      <c r="I39" s="11">
        <v>10</v>
      </c>
      <c r="J39" s="11">
        <v>7</v>
      </c>
      <c r="K39" s="11">
        <v>2</v>
      </c>
      <c r="L39" s="11">
        <v>5</v>
      </c>
      <c r="M39" s="11">
        <v>1</v>
      </c>
      <c r="N39" s="15" t="s">
        <v>4</v>
      </c>
    </row>
    <row r="40" spans="1:14" s="9" customFormat="1" ht="15" customHeight="1">
      <c r="A40" s="10" t="s">
        <v>284</v>
      </c>
      <c r="B40" s="11">
        <v>2001.62</v>
      </c>
      <c r="C40" s="11">
        <v>284</v>
      </c>
      <c r="D40" s="11">
        <v>1</v>
      </c>
      <c r="E40" s="11">
        <v>2</v>
      </c>
      <c r="F40" s="11">
        <v>133</v>
      </c>
      <c r="G40" s="11">
        <v>104</v>
      </c>
      <c r="H40" s="11">
        <v>29</v>
      </c>
      <c r="I40" s="11">
        <v>9</v>
      </c>
      <c r="J40" s="11">
        <v>4</v>
      </c>
      <c r="K40" s="11">
        <v>1</v>
      </c>
      <c r="L40" s="11">
        <v>1</v>
      </c>
      <c r="M40" s="14" t="s">
        <v>4</v>
      </c>
      <c r="N40" s="15" t="s">
        <v>4</v>
      </c>
    </row>
    <row r="41" spans="1:14" s="9" customFormat="1" ht="15" customHeight="1">
      <c r="A41" s="10" t="s">
        <v>285</v>
      </c>
      <c r="B41" s="11">
        <v>1010.7</v>
      </c>
      <c r="C41" s="11">
        <v>132</v>
      </c>
      <c r="D41" s="11">
        <v>1</v>
      </c>
      <c r="E41" s="11">
        <v>1</v>
      </c>
      <c r="F41" s="11">
        <v>62</v>
      </c>
      <c r="G41" s="11">
        <v>39</v>
      </c>
      <c r="H41" s="11">
        <v>20</v>
      </c>
      <c r="I41" s="11">
        <v>4</v>
      </c>
      <c r="J41" s="11">
        <v>5</v>
      </c>
      <c r="K41" s="14" t="s">
        <v>4</v>
      </c>
      <c r="L41" s="14" t="s">
        <v>4</v>
      </c>
      <c r="M41" s="14" t="s">
        <v>4</v>
      </c>
      <c r="N41" s="15" t="s">
        <v>4</v>
      </c>
    </row>
    <row r="42" spans="1:14" s="9" customFormat="1" ht="15" customHeight="1">
      <c r="A42" s="10" t="s">
        <v>286</v>
      </c>
      <c r="B42" s="11">
        <v>2471.51</v>
      </c>
      <c r="C42" s="11">
        <v>175</v>
      </c>
      <c r="D42" s="11">
        <v>3</v>
      </c>
      <c r="E42" s="11">
        <v>2</v>
      </c>
      <c r="F42" s="11">
        <v>63</v>
      </c>
      <c r="G42" s="11">
        <v>47</v>
      </c>
      <c r="H42" s="11">
        <v>31</v>
      </c>
      <c r="I42" s="11">
        <v>11</v>
      </c>
      <c r="J42" s="11">
        <v>11</v>
      </c>
      <c r="K42" s="11">
        <v>3</v>
      </c>
      <c r="L42" s="11">
        <v>4</v>
      </c>
      <c r="M42" s="14" t="s">
        <v>4</v>
      </c>
      <c r="N42" s="15" t="s">
        <v>4</v>
      </c>
    </row>
    <row r="43" spans="1:14" s="9" customFormat="1" ht="15" customHeight="1">
      <c r="A43" s="10" t="s">
        <v>287</v>
      </c>
      <c r="B43" s="11">
        <v>230.53</v>
      </c>
      <c r="C43" s="11">
        <v>31</v>
      </c>
      <c r="D43" s="11">
        <v>2</v>
      </c>
      <c r="E43" s="14" t="s">
        <v>4</v>
      </c>
      <c r="F43" s="11">
        <v>10</v>
      </c>
      <c r="G43" s="11">
        <v>12</v>
      </c>
      <c r="H43" s="11">
        <v>6</v>
      </c>
      <c r="I43" s="14" t="s">
        <v>4</v>
      </c>
      <c r="J43" s="11">
        <v>1</v>
      </c>
      <c r="K43" s="14" t="s">
        <v>4</v>
      </c>
      <c r="L43" s="14" t="s">
        <v>4</v>
      </c>
      <c r="M43" s="14" t="s">
        <v>4</v>
      </c>
      <c r="N43" s="15" t="s">
        <v>4</v>
      </c>
    </row>
    <row r="44" spans="1:14" s="9" customFormat="1" ht="15" customHeight="1">
      <c r="A44" s="10" t="s">
        <v>288</v>
      </c>
      <c r="B44" s="11">
        <v>425.36</v>
      </c>
      <c r="C44" s="11">
        <v>49</v>
      </c>
      <c r="D44" s="11">
        <v>1</v>
      </c>
      <c r="E44" s="11">
        <v>1</v>
      </c>
      <c r="F44" s="11">
        <v>21</v>
      </c>
      <c r="G44" s="11">
        <v>13</v>
      </c>
      <c r="H44" s="11">
        <v>8</v>
      </c>
      <c r="I44" s="11">
        <v>3</v>
      </c>
      <c r="J44" s="11">
        <v>1</v>
      </c>
      <c r="K44" s="11">
        <v>1</v>
      </c>
      <c r="L44" s="14" t="s">
        <v>4</v>
      </c>
      <c r="M44" s="14" t="s">
        <v>4</v>
      </c>
      <c r="N44" s="15" t="s">
        <v>4</v>
      </c>
    </row>
    <row r="45" spans="1:14" s="9" customFormat="1" ht="15" customHeight="1">
      <c r="A45" s="10" t="s">
        <v>289</v>
      </c>
      <c r="B45" s="11">
        <v>462.02</v>
      </c>
      <c r="C45" s="11">
        <v>54</v>
      </c>
      <c r="D45" s="11">
        <v>4</v>
      </c>
      <c r="E45" s="14" t="s">
        <v>4</v>
      </c>
      <c r="F45" s="11">
        <v>14</v>
      </c>
      <c r="G45" s="11">
        <v>23</v>
      </c>
      <c r="H45" s="11">
        <v>8</v>
      </c>
      <c r="I45" s="11">
        <v>3</v>
      </c>
      <c r="J45" s="11">
        <v>1</v>
      </c>
      <c r="K45" s="11">
        <v>1</v>
      </c>
      <c r="L45" s="14" t="s">
        <v>4</v>
      </c>
      <c r="M45" s="14" t="s">
        <v>4</v>
      </c>
      <c r="N45" s="15" t="s">
        <v>4</v>
      </c>
    </row>
    <row r="46" spans="1:14" s="9" customFormat="1" ht="7.5" customHeight="1">
      <c r="A46" s="10"/>
      <c r="B46" s="11"/>
      <c r="C46" s="11"/>
      <c r="D46" s="11"/>
      <c r="E46" s="14"/>
      <c r="F46" s="11"/>
      <c r="G46" s="11"/>
      <c r="H46" s="11"/>
      <c r="I46" s="11"/>
      <c r="J46" s="11"/>
      <c r="K46" s="11"/>
      <c r="L46" s="14"/>
      <c r="M46" s="14"/>
      <c r="N46" s="15"/>
    </row>
    <row r="47" spans="1:14" s="9" customFormat="1" ht="15" customHeight="1">
      <c r="A47" s="10" t="s">
        <v>290</v>
      </c>
      <c r="B47" s="11">
        <v>2391.4</v>
      </c>
      <c r="C47" s="11">
        <v>31</v>
      </c>
      <c r="D47" s="11">
        <v>1</v>
      </c>
      <c r="E47" s="14" t="s">
        <v>4</v>
      </c>
      <c r="F47" s="11">
        <v>10</v>
      </c>
      <c r="G47" s="11">
        <v>6</v>
      </c>
      <c r="H47" s="11">
        <v>2</v>
      </c>
      <c r="I47" s="11">
        <v>3</v>
      </c>
      <c r="J47" s="11">
        <v>2</v>
      </c>
      <c r="K47" s="11">
        <v>1</v>
      </c>
      <c r="L47" s="11">
        <v>5</v>
      </c>
      <c r="M47" s="11">
        <v>1</v>
      </c>
      <c r="N47" s="15" t="s">
        <v>4</v>
      </c>
    </row>
    <row r="48" spans="1:14" s="9" customFormat="1" ht="15" customHeight="1">
      <c r="A48" s="10" t="s">
        <v>291</v>
      </c>
      <c r="B48" s="11">
        <v>884.93</v>
      </c>
      <c r="C48" s="11">
        <v>22</v>
      </c>
      <c r="D48" s="11">
        <v>1</v>
      </c>
      <c r="E48" s="14" t="s">
        <v>4</v>
      </c>
      <c r="F48" s="11">
        <v>6</v>
      </c>
      <c r="G48" s="11">
        <v>5</v>
      </c>
      <c r="H48" s="11">
        <v>2</v>
      </c>
      <c r="I48" s="14" t="s">
        <v>4</v>
      </c>
      <c r="J48" s="11">
        <v>1</v>
      </c>
      <c r="K48" s="11">
        <v>6</v>
      </c>
      <c r="L48" s="11">
        <v>1</v>
      </c>
      <c r="M48" s="14" t="s">
        <v>4</v>
      </c>
      <c r="N48" s="15" t="s">
        <v>4</v>
      </c>
    </row>
    <row r="49" spans="1:14" s="9" customFormat="1" ht="15" customHeight="1">
      <c r="A49" s="10" t="s">
        <v>292</v>
      </c>
      <c r="B49" s="11">
        <v>1514.3</v>
      </c>
      <c r="C49" s="11">
        <v>92</v>
      </c>
      <c r="D49" s="14" t="s">
        <v>4</v>
      </c>
      <c r="E49" s="11">
        <v>1</v>
      </c>
      <c r="F49" s="11">
        <v>36</v>
      </c>
      <c r="G49" s="11">
        <v>23</v>
      </c>
      <c r="H49" s="11">
        <v>16</v>
      </c>
      <c r="I49" s="11">
        <v>3</v>
      </c>
      <c r="J49" s="11">
        <v>6</v>
      </c>
      <c r="K49" s="11">
        <v>5</v>
      </c>
      <c r="L49" s="11">
        <v>2</v>
      </c>
      <c r="M49" s="14" t="s">
        <v>4</v>
      </c>
      <c r="N49" s="15" t="s">
        <v>4</v>
      </c>
    </row>
    <row r="50" spans="1:14" s="9" customFormat="1" ht="15" customHeight="1">
      <c r="A50" s="10" t="s">
        <v>293</v>
      </c>
      <c r="B50" s="11">
        <v>4097.8</v>
      </c>
      <c r="C50" s="11">
        <v>70</v>
      </c>
      <c r="D50" s="11">
        <v>1</v>
      </c>
      <c r="E50" s="11">
        <v>3</v>
      </c>
      <c r="F50" s="11">
        <v>22</v>
      </c>
      <c r="G50" s="11">
        <v>14</v>
      </c>
      <c r="H50" s="11">
        <v>10</v>
      </c>
      <c r="I50" s="11">
        <v>6</v>
      </c>
      <c r="J50" s="11">
        <v>7</v>
      </c>
      <c r="K50" s="11">
        <v>1</v>
      </c>
      <c r="L50" s="11">
        <v>4</v>
      </c>
      <c r="M50" s="14" t="s">
        <v>4</v>
      </c>
      <c r="N50" s="12">
        <v>2</v>
      </c>
    </row>
    <row r="51" spans="1:14" s="9" customFormat="1" ht="15" customHeight="1">
      <c r="A51" s="10" t="s">
        <v>294</v>
      </c>
      <c r="B51" s="11">
        <v>10917.34</v>
      </c>
      <c r="C51" s="11">
        <v>70</v>
      </c>
      <c r="D51" s="11">
        <v>7</v>
      </c>
      <c r="E51" s="11">
        <v>1</v>
      </c>
      <c r="F51" s="11">
        <v>13</v>
      </c>
      <c r="G51" s="11">
        <v>20</v>
      </c>
      <c r="H51" s="11">
        <v>15</v>
      </c>
      <c r="I51" s="11">
        <v>1</v>
      </c>
      <c r="J51" s="11">
        <v>3</v>
      </c>
      <c r="K51" s="11">
        <v>4</v>
      </c>
      <c r="L51" s="11">
        <v>4</v>
      </c>
      <c r="M51" s="11">
        <v>1</v>
      </c>
      <c r="N51" s="12">
        <v>1</v>
      </c>
    </row>
    <row r="52" spans="1:14" s="9" customFormat="1" ht="7.5" customHeight="1">
      <c r="A52" s="10"/>
      <c r="B52" s="11"/>
      <c r="C52" s="11"/>
      <c r="D52" s="11"/>
      <c r="E52" s="11"/>
      <c r="F52" s="11"/>
      <c r="G52" s="11"/>
      <c r="H52" s="11"/>
      <c r="I52" s="11"/>
      <c r="J52" s="11"/>
      <c r="K52" s="11"/>
      <c r="L52" s="11"/>
      <c r="M52" s="11"/>
      <c r="N52" s="12"/>
    </row>
    <row r="53" spans="1:14" s="9" customFormat="1" ht="15" customHeight="1">
      <c r="A53" s="10" t="s">
        <v>295</v>
      </c>
      <c r="B53" s="11">
        <v>586.38</v>
      </c>
      <c r="C53" s="11">
        <v>41</v>
      </c>
      <c r="D53" s="14" t="s">
        <v>4</v>
      </c>
      <c r="E53" s="11">
        <v>1</v>
      </c>
      <c r="F53" s="11">
        <v>16</v>
      </c>
      <c r="G53" s="11">
        <v>17</v>
      </c>
      <c r="H53" s="11">
        <v>4</v>
      </c>
      <c r="I53" s="11">
        <v>1</v>
      </c>
      <c r="J53" s="14" t="s">
        <v>4</v>
      </c>
      <c r="K53" s="11">
        <v>1</v>
      </c>
      <c r="L53" s="11">
        <v>1</v>
      </c>
      <c r="M53" s="14" t="s">
        <v>4</v>
      </c>
      <c r="N53" s="15" t="s">
        <v>4</v>
      </c>
    </row>
    <row r="54" spans="1:14" s="9" customFormat="1" ht="15" customHeight="1">
      <c r="A54" s="10" t="s">
        <v>296</v>
      </c>
      <c r="B54" s="11">
        <v>12.15</v>
      </c>
      <c r="C54" s="11">
        <v>2</v>
      </c>
      <c r="D54" s="14" t="s">
        <v>4</v>
      </c>
      <c r="E54" s="14" t="s">
        <v>4</v>
      </c>
      <c r="F54" s="14" t="s">
        <v>4</v>
      </c>
      <c r="G54" s="11">
        <v>2</v>
      </c>
      <c r="H54" s="14" t="s">
        <v>4</v>
      </c>
      <c r="I54" s="14" t="s">
        <v>4</v>
      </c>
      <c r="J54" s="14" t="s">
        <v>4</v>
      </c>
      <c r="K54" s="14" t="s">
        <v>4</v>
      </c>
      <c r="L54" s="14" t="s">
        <v>4</v>
      </c>
      <c r="M54" s="14" t="s">
        <v>4</v>
      </c>
      <c r="N54" s="15" t="s">
        <v>4</v>
      </c>
    </row>
    <row r="55" spans="1:14" s="9" customFormat="1" ht="15" customHeight="1">
      <c r="A55" s="10" t="s">
        <v>297</v>
      </c>
      <c r="B55" s="11">
        <v>155.79</v>
      </c>
      <c r="C55" s="11">
        <v>20</v>
      </c>
      <c r="D55" s="14" t="s">
        <v>4</v>
      </c>
      <c r="E55" s="14" t="s">
        <v>4</v>
      </c>
      <c r="F55" s="11">
        <v>9</v>
      </c>
      <c r="G55" s="11">
        <v>7</v>
      </c>
      <c r="H55" s="11">
        <v>1</v>
      </c>
      <c r="I55" s="11">
        <v>3</v>
      </c>
      <c r="J55" s="14" t="s">
        <v>4</v>
      </c>
      <c r="K55" s="14" t="s">
        <v>4</v>
      </c>
      <c r="L55" s="14" t="s">
        <v>4</v>
      </c>
      <c r="M55" s="14" t="s">
        <v>4</v>
      </c>
      <c r="N55" s="15" t="s">
        <v>4</v>
      </c>
    </row>
    <row r="56" spans="1:14" s="9" customFormat="1" ht="15" customHeight="1">
      <c r="A56" s="10" t="s">
        <v>298</v>
      </c>
      <c r="B56" s="11">
        <v>557.86</v>
      </c>
      <c r="C56" s="11">
        <v>14</v>
      </c>
      <c r="D56" s="14" t="s">
        <v>4</v>
      </c>
      <c r="E56" s="14" t="s">
        <v>4</v>
      </c>
      <c r="F56" s="11">
        <v>4</v>
      </c>
      <c r="G56" s="11">
        <v>6</v>
      </c>
      <c r="H56" s="11">
        <v>1</v>
      </c>
      <c r="I56" s="14" t="s">
        <v>4</v>
      </c>
      <c r="J56" s="14" t="s">
        <v>4</v>
      </c>
      <c r="K56" s="11">
        <v>2</v>
      </c>
      <c r="L56" s="11">
        <v>1</v>
      </c>
      <c r="M56" s="14" t="s">
        <v>4</v>
      </c>
      <c r="N56" s="15" t="s">
        <v>4</v>
      </c>
    </row>
    <row r="57" spans="1:14" s="9" customFormat="1" ht="15" customHeight="1">
      <c r="A57" s="10" t="s">
        <v>299</v>
      </c>
      <c r="B57" s="11">
        <v>217.26</v>
      </c>
      <c r="C57" s="11">
        <v>30</v>
      </c>
      <c r="D57" s="14" t="s">
        <v>4</v>
      </c>
      <c r="E57" s="11">
        <v>1</v>
      </c>
      <c r="F57" s="11">
        <v>12</v>
      </c>
      <c r="G57" s="11">
        <v>10</v>
      </c>
      <c r="H57" s="11">
        <v>5</v>
      </c>
      <c r="I57" s="11">
        <v>2</v>
      </c>
      <c r="J57" s="14" t="s">
        <v>4</v>
      </c>
      <c r="K57" s="14" t="s">
        <v>4</v>
      </c>
      <c r="L57" s="14" t="s">
        <v>4</v>
      </c>
      <c r="M57" s="14" t="s">
        <v>4</v>
      </c>
      <c r="N57" s="15" t="s">
        <v>4</v>
      </c>
    </row>
    <row r="58" spans="1:14" s="9" customFormat="1" ht="15" customHeight="1">
      <c r="A58" s="10" t="s">
        <v>300</v>
      </c>
      <c r="B58" s="11">
        <v>46.58</v>
      </c>
      <c r="C58" s="11">
        <v>3</v>
      </c>
      <c r="D58" s="14" t="s">
        <v>4</v>
      </c>
      <c r="E58" s="14" t="s">
        <v>4</v>
      </c>
      <c r="F58" s="11">
        <v>2</v>
      </c>
      <c r="G58" s="14" t="s">
        <v>4</v>
      </c>
      <c r="H58" s="14" t="s">
        <v>4</v>
      </c>
      <c r="I58" s="14" t="s">
        <v>4</v>
      </c>
      <c r="J58" s="11">
        <v>1</v>
      </c>
      <c r="K58" s="14" t="s">
        <v>4</v>
      </c>
      <c r="L58" s="14" t="s">
        <v>4</v>
      </c>
      <c r="M58" s="14" t="s">
        <v>4</v>
      </c>
      <c r="N58" s="15" t="s">
        <v>4</v>
      </c>
    </row>
    <row r="59" spans="1:14" s="9" customFormat="1" ht="15" customHeight="1">
      <c r="A59" s="10" t="s">
        <v>301</v>
      </c>
      <c r="B59" s="11">
        <v>7291.88</v>
      </c>
      <c r="C59" s="11">
        <v>568</v>
      </c>
      <c r="D59" s="14" t="s">
        <v>4</v>
      </c>
      <c r="E59" s="14" t="s">
        <v>4</v>
      </c>
      <c r="F59" s="11">
        <v>213</v>
      </c>
      <c r="G59" s="11">
        <v>191</v>
      </c>
      <c r="H59" s="11">
        <v>105</v>
      </c>
      <c r="I59" s="11">
        <v>30</v>
      </c>
      <c r="J59" s="11">
        <v>20</v>
      </c>
      <c r="K59" s="11">
        <v>8</v>
      </c>
      <c r="L59" s="14" t="s">
        <v>4</v>
      </c>
      <c r="M59" s="14" t="s">
        <v>4</v>
      </c>
      <c r="N59" s="12">
        <v>1</v>
      </c>
    </row>
    <row r="60" spans="1:14" s="9" customFormat="1" ht="15" customHeight="1">
      <c r="A60" s="10" t="s">
        <v>302</v>
      </c>
      <c r="B60" s="11">
        <v>3108.15</v>
      </c>
      <c r="C60" s="11">
        <v>189</v>
      </c>
      <c r="D60" s="14" t="s">
        <v>4</v>
      </c>
      <c r="E60" s="11">
        <v>1</v>
      </c>
      <c r="F60" s="11">
        <v>42</v>
      </c>
      <c r="G60" s="11">
        <v>48</v>
      </c>
      <c r="H60" s="11">
        <v>53</v>
      </c>
      <c r="I60" s="11">
        <v>25</v>
      </c>
      <c r="J60" s="11">
        <v>12</v>
      </c>
      <c r="K60" s="11">
        <v>6</v>
      </c>
      <c r="L60" s="11">
        <v>2</v>
      </c>
      <c r="M60" s="14" t="s">
        <v>4</v>
      </c>
      <c r="N60" s="15" t="s">
        <v>4</v>
      </c>
    </row>
    <row r="61" spans="1:14" s="9" customFormat="1" ht="15" customHeight="1">
      <c r="A61" s="10" t="s">
        <v>303</v>
      </c>
      <c r="B61" s="11">
        <v>1493.95</v>
      </c>
      <c r="C61" s="11">
        <v>103</v>
      </c>
      <c r="D61" s="11">
        <v>1</v>
      </c>
      <c r="E61" s="14" t="s">
        <v>4</v>
      </c>
      <c r="F61" s="11">
        <v>49</v>
      </c>
      <c r="G61" s="11">
        <v>31</v>
      </c>
      <c r="H61" s="11">
        <v>13</v>
      </c>
      <c r="I61" s="11">
        <v>3</v>
      </c>
      <c r="J61" s="11">
        <v>2</v>
      </c>
      <c r="K61" s="14" t="s">
        <v>4</v>
      </c>
      <c r="L61" s="11">
        <v>4</v>
      </c>
      <c r="M61" s="14" t="s">
        <v>4</v>
      </c>
      <c r="N61" s="15" t="s">
        <v>4</v>
      </c>
    </row>
    <row r="62" spans="1:14" s="9" customFormat="1" ht="15" customHeight="1">
      <c r="A62" s="10" t="s">
        <v>304</v>
      </c>
      <c r="B62" s="11">
        <v>1903.07</v>
      </c>
      <c r="C62" s="11">
        <v>195</v>
      </c>
      <c r="D62" s="11">
        <v>1</v>
      </c>
      <c r="E62" s="11">
        <v>1</v>
      </c>
      <c r="F62" s="11">
        <v>70</v>
      </c>
      <c r="G62" s="11">
        <v>76</v>
      </c>
      <c r="H62" s="11">
        <v>28</v>
      </c>
      <c r="I62" s="11">
        <v>11</v>
      </c>
      <c r="J62" s="11">
        <v>6</v>
      </c>
      <c r="K62" s="11">
        <v>1</v>
      </c>
      <c r="L62" s="11">
        <v>1</v>
      </c>
      <c r="M62" s="14" t="s">
        <v>4</v>
      </c>
      <c r="N62" s="15" t="s">
        <v>4</v>
      </c>
    </row>
    <row r="63" spans="1:14" s="9" customFormat="1" ht="15" customHeight="1">
      <c r="A63" s="10" t="s">
        <v>305</v>
      </c>
      <c r="B63" s="11">
        <v>525.17</v>
      </c>
      <c r="C63" s="11">
        <v>67</v>
      </c>
      <c r="D63" s="14" t="s">
        <v>4</v>
      </c>
      <c r="E63" s="14" t="s">
        <v>4</v>
      </c>
      <c r="F63" s="11">
        <v>29</v>
      </c>
      <c r="G63" s="11">
        <v>22</v>
      </c>
      <c r="H63" s="11">
        <v>12</v>
      </c>
      <c r="I63" s="11">
        <v>3</v>
      </c>
      <c r="J63" s="11">
        <v>1</v>
      </c>
      <c r="K63" s="14" t="s">
        <v>4</v>
      </c>
      <c r="L63" s="14" t="s">
        <v>4</v>
      </c>
      <c r="M63" s="14" t="s">
        <v>4</v>
      </c>
      <c r="N63" s="15" t="s">
        <v>4</v>
      </c>
    </row>
    <row r="64" spans="1:14" s="9" customFormat="1" ht="15" customHeight="1" thickBot="1">
      <c r="A64" s="16" t="s">
        <v>306</v>
      </c>
      <c r="B64" s="17">
        <v>1090.68</v>
      </c>
      <c r="C64" s="17">
        <v>134</v>
      </c>
      <c r="D64" s="18" t="s">
        <v>4</v>
      </c>
      <c r="E64" s="17">
        <v>1</v>
      </c>
      <c r="F64" s="17">
        <v>49</v>
      </c>
      <c r="G64" s="17">
        <v>51</v>
      </c>
      <c r="H64" s="17">
        <v>25</v>
      </c>
      <c r="I64" s="17">
        <v>6</v>
      </c>
      <c r="J64" s="17">
        <v>1</v>
      </c>
      <c r="K64" s="17">
        <v>1</v>
      </c>
      <c r="L64" s="18" t="s">
        <v>4</v>
      </c>
      <c r="M64" s="18" t="s">
        <v>4</v>
      </c>
      <c r="N64" s="19" t="s">
        <v>4</v>
      </c>
    </row>
    <row r="65" ht="13.5">
      <c r="A65" s="298" t="s">
        <v>13</v>
      </c>
    </row>
  </sheetData>
  <mergeCells count="14">
    <mergeCell ref="A3:A7"/>
    <mergeCell ref="D3:D7"/>
    <mergeCell ref="B3:B7"/>
    <mergeCell ref="C3:C7"/>
    <mergeCell ref="E3:E7"/>
    <mergeCell ref="F3:F7"/>
    <mergeCell ref="G3:G7"/>
    <mergeCell ref="H3:H7"/>
    <mergeCell ref="M3:M7"/>
    <mergeCell ref="N3:N7"/>
    <mergeCell ref="I3:I7"/>
    <mergeCell ref="J3:J7"/>
    <mergeCell ref="K3:K7"/>
    <mergeCell ref="L3:L7"/>
  </mergeCells>
  <printOptions/>
  <pageMargins left="0.23" right="0.17" top="0.75" bottom="0.81" header="0.512" footer="0.512"/>
  <pageSetup horizontalDpi="600" verticalDpi="600" orientation="portrait" paperSize="9" scale="75" r:id="rId1"/>
  <headerFooter alignWithMargins="0">
    <oddHeader>&amp;R&amp;D&amp;T</oddHeader>
  </headerFooter>
</worksheet>
</file>

<file path=xl/worksheets/sheet4.xml><?xml version="1.0" encoding="utf-8"?>
<worksheet xmlns="http://schemas.openxmlformats.org/spreadsheetml/2006/main" xmlns:r="http://schemas.openxmlformats.org/officeDocument/2006/relationships">
  <dimension ref="A1:I65"/>
  <sheetViews>
    <sheetView workbookViewId="0" topLeftCell="A1">
      <selection activeCell="A1" sqref="A1"/>
    </sheetView>
  </sheetViews>
  <sheetFormatPr defaultColWidth="9.00390625" defaultRowHeight="13.5"/>
  <cols>
    <col min="1" max="16384" width="9.00390625" style="299" customWidth="1"/>
  </cols>
  <sheetData>
    <row r="1" spans="1:9" ht="18" customHeight="1">
      <c r="A1" s="23" t="s">
        <v>14</v>
      </c>
      <c r="B1" s="24"/>
      <c r="C1" s="24"/>
      <c r="D1" s="24"/>
      <c r="E1" s="24"/>
      <c r="F1" s="24"/>
      <c r="G1" s="24"/>
      <c r="H1" s="24"/>
      <c r="I1" s="24"/>
    </row>
    <row r="2" spans="1:9" ht="15" customHeight="1" thickBot="1">
      <c r="A2" s="24"/>
      <c r="B2" s="24"/>
      <c r="C2" s="24"/>
      <c r="D2" s="24"/>
      <c r="E2" s="24"/>
      <c r="F2" s="24"/>
      <c r="G2" s="24"/>
      <c r="H2" s="24"/>
      <c r="I2" s="25" t="s">
        <v>15</v>
      </c>
    </row>
    <row r="3" spans="1:9" s="26" customFormat="1" ht="9.75" customHeight="1" thickTop="1">
      <c r="A3" s="406" t="s">
        <v>6</v>
      </c>
      <c r="B3" s="412" t="s">
        <v>16</v>
      </c>
      <c r="C3" s="409" t="s">
        <v>17</v>
      </c>
      <c r="D3" s="412" t="s">
        <v>18</v>
      </c>
      <c r="E3" s="412" t="s">
        <v>257</v>
      </c>
      <c r="F3" s="412" t="s">
        <v>307</v>
      </c>
      <c r="G3" s="412" t="s">
        <v>308</v>
      </c>
      <c r="H3" s="412" t="s">
        <v>309</v>
      </c>
      <c r="I3" s="415" t="s">
        <v>19</v>
      </c>
    </row>
    <row r="4" spans="1:9" s="26" customFormat="1" ht="9.75" customHeight="1">
      <c r="A4" s="407"/>
      <c r="B4" s="413"/>
      <c r="C4" s="410"/>
      <c r="D4" s="413"/>
      <c r="E4" s="413"/>
      <c r="F4" s="413"/>
      <c r="G4" s="413"/>
      <c r="H4" s="413"/>
      <c r="I4" s="416"/>
    </row>
    <row r="5" spans="1:9" s="26" customFormat="1" ht="9.75" customHeight="1">
      <c r="A5" s="407"/>
      <c r="B5" s="413"/>
      <c r="C5" s="410"/>
      <c r="D5" s="413"/>
      <c r="E5" s="413"/>
      <c r="F5" s="413"/>
      <c r="G5" s="413"/>
      <c r="H5" s="413"/>
      <c r="I5" s="416"/>
    </row>
    <row r="6" spans="1:9" s="26" customFormat="1" ht="9.75" customHeight="1">
      <c r="A6" s="407"/>
      <c r="B6" s="413"/>
      <c r="C6" s="410"/>
      <c r="D6" s="413"/>
      <c r="E6" s="413"/>
      <c r="F6" s="413"/>
      <c r="G6" s="413"/>
      <c r="H6" s="413"/>
      <c r="I6" s="416"/>
    </row>
    <row r="7" spans="1:9" s="26" customFormat="1" ht="9.75" customHeight="1">
      <c r="A7" s="408"/>
      <c r="B7" s="414"/>
      <c r="C7" s="411"/>
      <c r="D7" s="414"/>
      <c r="E7" s="414"/>
      <c r="F7" s="414"/>
      <c r="G7" s="414"/>
      <c r="H7" s="414"/>
      <c r="I7" s="417"/>
    </row>
    <row r="8" spans="1:9" s="26" customFormat="1" ht="15" customHeight="1">
      <c r="A8" s="29" t="s">
        <v>12</v>
      </c>
      <c r="B8" s="27">
        <v>4388</v>
      </c>
      <c r="C8" s="27">
        <v>423</v>
      </c>
      <c r="D8" s="27">
        <v>290</v>
      </c>
      <c r="E8" s="27">
        <v>277</v>
      </c>
      <c r="F8" s="27">
        <v>517</v>
      </c>
      <c r="G8" s="27">
        <v>511</v>
      </c>
      <c r="H8" s="27">
        <v>480</v>
      </c>
      <c r="I8" s="28">
        <v>1890</v>
      </c>
    </row>
    <row r="9" spans="1:9" s="26" customFormat="1" ht="7.5" customHeight="1">
      <c r="A9" s="29"/>
      <c r="B9" s="27"/>
      <c r="C9" s="27"/>
      <c r="D9" s="27"/>
      <c r="E9" s="27"/>
      <c r="F9" s="27"/>
      <c r="G9" s="27"/>
      <c r="H9" s="27"/>
      <c r="I9" s="28"/>
    </row>
    <row r="10" spans="1:9" s="26" customFormat="1" ht="15" customHeight="1">
      <c r="A10" s="29" t="s">
        <v>0</v>
      </c>
      <c r="B10" s="27">
        <v>1086</v>
      </c>
      <c r="C10" s="27">
        <v>63</v>
      </c>
      <c r="D10" s="27">
        <v>97</v>
      </c>
      <c r="E10" s="27">
        <v>98</v>
      </c>
      <c r="F10" s="27">
        <v>173</v>
      </c>
      <c r="G10" s="27">
        <v>187</v>
      </c>
      <c r="H10" s="27">
        <v>126</v>
      </c>
      <c r="I10" s="28">
        <v>342</v>
      </c>
    </row>
    <row r="11" spans="1:9" s="26" customFormat="1" ht="15" customHeight="1">
      <c r="A11" s="29" t="s">
        <v>1</v>
      </c>
      <c r="B11" s="27">
        <v>999</v>
      </c>
      <c r="C11" s="27">
        <v>113</v>
      </c>
      <c r="D11" s="27">
        <v>26</v>
      </c>
      <c r="E11" s="27">
        <v>28</v>
      </c>
      <c r="F11" s="27">
        <v>83</v>
      </c>
      <c r="G11" s="27">
        <v>85</v>
      </c>
      <c r="H11" s="27">
        <v>115</v>
      </c>
      <c r="I11" s="28">
        <v>549</v>
      </c>
    </row>
    <row r="12" spans="1:9" s="26" customFormat="1" ht="15" customHeight="1">
      <c r="A12" s="29" t="s">
        <v>2</v>
      </c>
      <c r="B12" s="27">
        <v>532</v>
      </c>
      <c r="C12" s="27">
        <v>48</v>
      </c>
      <c r="D12" s="27">
        <v>42</v>
      </c>
      <c r="E12" s="27">
        <v>64</v>
      </c>
      <c r="F12" s="27">
        <v>81</v>
      </c>
      <c r="G12" s="27">
        <v>66</v>
      </c>
      <c r="H12" s="27">
        <v>60</v>
      </c>
      <c r="I12" s="28">
        <v>171</v>
      </c>
    </row>
    <row r="13" spans="1:9" s="26" customFormat="1" ht="15" customHeight="1">
      <c r="A13" s="29" t="s">
        <v>3</v>
      </c>
      <c r="B13" s="27">
        <v>1771</v>
      </c>
      <c r="C13" s="27">
        <v>199</v>
      </c>
      <c r="D13" s="27">
        <v>125</v>
      </c>
      <c r="E13" s="27">
        <v>87</v>
      </c>
      <c r="F13" s="27">
        <v>180</v>
      </c>
      <c r="G13" s="27">
        <v>173</v>
      </c>
      <c r="H13" s="27">
        <v>179</v>
      </c>
      <c r="I13" s="28">
        <v>828</v>
      </c>
    </row>
    <row r="14" spans="1:9" s="26" customFormat="1" ht="7.5" customHeight="1">
      <c r="A14" s="29"/>
      <c r="B14" s="27"/>
      <c r="C14" s="27"/>
      <c r="D14" s="27"/>
      <c r="E14" s="27"/>
      <c r="F14" s="27"/>
      <c r="G14" s="27"/>
      <c r="H14" s="27"/>
      <c r="I14" s="28"/>
    </row>
    <row r="15" spans="1:9" s="26" customFormat="1" ht="15" customHeight="1">
      <c r="A15" s="30" t="s">
        <v>263</v>
      </c>
      <c r="B15" s="31">
        <v>134</v>
      </c>
      <c r="C15" s="31">
        <v>1</v>
      </c>
      <c r="D15" s="31">
        <v>17</v>
      </c>
      <c r="E15" s="31">
        <v>14</v>
      </c>
      <c r="F15" s="31">
        <v>25</v>
      </c>
      <c r="G15" s="31">
        <v>24</v>
      </c>
      <c r="H15" s="31">
        <v>12</v>
      </c>
      <c r="I15" s="32">
        <v>41</v>
      </c>
    </row>
    <row r="16" spans="1:9" s="26" customFormat="1" ht="15" customHeight="1">
      <c r="A16" s="30" t="s">
        <v>264</v>
      </c>
      <c r="B16" s="31">
        <v>115</v>
      </c>
      <c r="C16" s="31">
        <v>9</v>
      </c>
      <c r="D16" s="31">
        <v>10</v>
      </c>
      <c r="E16" s="31">
        <v>16</v>
      </c>
      <c r="F16" s="31">
        <v>20</v>
      </c>
      <c r="G16" s="31">
        <v>15</v>
      </c>
      <c r="H16" s="31">
        <v>12</v>
      </c>
      <c r="I16" s="32">
        <v>33</v>
      </c>
    </row>
    <row r="17" spans="1:9" s="26" customFormat="1" ht="15" customHeight="1">
      <c r="A17" s="30" t="s">
        <v>265</v>
      </c>
      <c r="B17" s="31">
        <v>359</v>
      </c>
      <c r="C17" s="31">
        <v>81</v>
      </c>
      <c r="D17" s="31">
        <v>20</v>
      </c>
      <c r="E17" s="31">
        <v>4</v>
      </c>
      <c r="F17" s="31">
        <v>23</v>
      </c>
      <c r="G17" s="31">
        <v>30</v>
      </c>
      <c r="H17" s="31">
        <v>45</v>
      </c>
      <c r="I17" s="32">
        <v>156</v>
      </c>
    </row>
    <row r="18" spans="1:9" s="26" customFormat="1" ht="15" customHeight="1">
      <c r="A18" s="30" t="s">
        <v>266</v>
      </c>
      <c r="B18" s="31">
        <v>46</v>
      </c>
      <c r="C18" s="31">
        <v>1</v>
      </c>
      <c r="D18" s="33" t="s">
        <v>4</v>
      </c>
      <c r="E18" s="33" t="s">
        <v>4</v>
      </c>
      <c r="F18" s="31">
        <v>4</v>
      </c>
      <c r="G18" s="31">
        <v>5</v>
      </c>
      <c r="H18" s="31">
        <v>5</v>
      </c>
      <c r="I18" s="32">
        <v>31</v>
      </c>
    </row>
    <row r="19" spans="1:9" s="26" customFormat="1" ht="7.5" customHeight="1">
      <c r="A19" s="30"/>
      <c r="B19" s="31"/>
      <c r="C19" s="31"/>
      <c r="D19" s="33"/>
      <c r="E19" s="33"/>
      <c r="F19" s="31"/>
      <c r="G19" s="31"/>
      <c r="H19" s="31"/>
      <c r="I19" s="32"/>
    </row>
    <row r="20" spans="1:9" s="26" customFormat="1" ht="15" customHeight="1">
      <c r="A20" s="30" t="s">
        <v>267</v>
      </c>
      <c r="B20" s="31">
        <v>81</v>
      </c>
      <c r="C20" s="31">
        <v>5</v>
      </c>
      <c r="D20" s="31">
        <v>2</v>
      </c>
      <c r="E20" s="31">
        <v>1</v>
      </c>
      <c r="F20" s="31">
        <v>10</v>
      </c>
      <c r="G20" s="31">
        <v>10</v>
      </c>
      <c r="H20" s="31">
        <v>9</v>
      </c>
      <c r="I20" s="32">
        <v>44</v>
      </c>
    </row>
    <row r="21" spans="1:9" s="26" customFormat="1" ht="15" customHeight="1">
      <c r="A21" s="30" t="s">
        <v>268</v>
      </c>
      <c r="B21" s="31">
        <v>38</v>
      </c>
      <c r="C21" s="33" t="s">
        <v>4</v>
      </c>
      <c r="D21" s="31">
        <v>2</v>
      </c>
      <c r="E21" s="31">
        <v>2</v>
      </c>
      <c r="F21" s="31">
        <v>5</v>
      </c>
      <c r="G21" s="31">
        <v>7</v>
      </c>
      <c r="H21" s="31">
        <v>7</v>
      </c>
      <c r="I21" s="32">
        <v>15</v>
      </c>
    </row>
    <row r="22" spans="1:9" s="26" customFormat="1" ht="15" customHeight="1">
      <c r="A22" s="30" t="s">
        <v>269</v>
      </c>
      <c r="B22" s="31">
        <v>99</v>
      </c>
      <c r="C22" s="31">
        <v>14</v>
      </c>
      <c r="D22" s="31">
        <v>7</v>
      </c>
      <c r="E22" s="31">
        <v>11</v>
      </c>
      <c r="F22" s="31">
        <v>12</v>
      </c>
      <c r="G22" s="31">
        <v>17</v>
      </c>
      <c r="H22" s="31">
        <v>11</v>
      </c>
      <c r="I22" s="32">
        <v>27</v>
      </c>
    </row>
    <row r="23" spans="1:9" s="26" customFormat="1" ht="15" customHeight="1">
      <c r="A23" s="30" t="s">
        <v>270</v>
      </c>
      <c r="B23" s="31">
        <v>65</v>
      </c>
      <c r="C23" s="31">
        <v>7</v>
      </c>
      <c r="D23" s="31">
        <v>6</v>
      </c>
      <c r="E23" s="31">
        <v>5</v>
      </c>
      <c r="F23" s="31">
        <v>18</v>
      </c>
      <c r="G23" s="31">
        <v>9</v>
      </c>
      <c r="H23" s="31">
        <v>4</v>
      </c>
      <c r="I23" s="32">
        <v>16</v>
      </c>
    </row>
    <row r="24" spans="1:9" s="26" customFormat="1" ht="7.5" customHeight="1">
      <c r="A24" s="30"/>
      <c r="B24" s="31"/>
      <c r="C24" s="31"/>
      <c r="D24" s="31"/>
      <c r="E24" s="31"/>
      <c r="F24" s="31"/>
      <c r="G24" s="31"/>
      <c r="H24" s="31"/>
      <c r="I24" s="32"/>
    </row>
    <row r="25" spans="1:9" s="26" customFormat="1" ht="15" customHeight="1">
      <c r="A25" s="30" t="s">
        <v>271</v>
      </c>
      <c r="B25" s="31">
        <v>37</v>
      </c>
      <c r="C25" s="31">
        <v>2</v>
      </c>
      <c r="D25" s="31">
        <v>2</v>
      </c>
      <c r="E25" s="31">
        <v>3</v>
      </c>
      <c r="F25" s="31">
        <v>6</v>
      </c>
      <c r="G25" s="31">
        <v>4</v>
      </c>
      <c r="H25" s="31">
        <v>5</v>
      </c>
      <c r="I25" s="32">
        <v>15</v>
      </c>
    </row>
    <row r="26" spans="1:9" s="26" customFormat="1" ht="15" customHeight="1">
      <c r="A26" s="30" t="s">
        <v>272</v>
      </c>
      <c r="B26" s="31">
        <v>22</v>
      </c>
      <c r="C26" s="31">
        <v>1</v>
      </c>
      <c r="D26" s="31">
        <v>2</v>
      </c>
      <c r="E26" s="31">
        <v>5</v>
      </c>
      <c r="F26" s="31">
        <v>3</v>
      </c>
      <c r="G26" s="31">
        <v>4</v>
      </c>
      <c r="H26" s="31">
        <v>3</v>
      </c>
      <c r="I26" s="32">
        <v>4</v>
      </c>
    </row>
    <row r="27" spans="1:9" s="26" customFormat="1" ht="15" customHeight="1">
      <c r="A27" s="30" t="s">
        <v>273</v>
      </c>
      <c r="B27" s="31">
        <v>25</v>
      </c>
      <c r="C27" s="31">
        <v>1</v>
      </c>
      <c r="D27" s="31">
        <v>3</v>
      </c>
      <c r="E27" s="31">
        <v>6</v>
      </c>
      <c r="F27" s="31">
        <v>4</v>
      </c>
      <c r="G27" s="31">
        <v>4</v>
      </c>
      <c r="H27" s="31">
        <v>3</v>
      </c>
      <c r="I27" s="32">
        <v>4</v>
      </c>
    </row>
    <row r="28" spans="1:9" s="26" customFormat="1" ht="15" customHeight="1">
      <c r="A28" s="30" t="s">
        <v>274</v>
      </c>
      <c r="B28" s="31">
        <v>128</v>
      </c>
      <c r="C28" s="31">
        <v>4</v>
      </c>
      <c r="D28" s="31">
        <v>7</v>
      </c>
      <c r="E28" s="31">
        <v>4</v>
      </c>
      <c r="F28" s="31">
        <v>18</v>
      </c>
      <c r="G28" s="31">
        <v>29</v>
      </c>
      <c r="H28" s="31">
        <v>24</v>
      </c>
      <c r="I28" s="32">
        <v>42</v>
      </c>
    </row>
    <row r="29" spans="1:9" s="26" customFormat="1" ht="15" customHeight="1">
      <c r="A29" s="30" t="s">
        <v>275</v>
      </c>
      <c r="B29" s="31">
        <v>95</v>
      </c>
      <c r="C29" s="31">
        <v>6</v>
      </c>
      <c r="D29" s="31">
        <v>9</v>
      </c>
      <c r="E29" s="31">
        <v>12</v>
      </c>
      <c r="F29" s="31">
        <v>10</v>
      </c>
      <c r="G29" s="31">
        <v>8</v>
      </c>
      <c r="H29" s="31">
        <v>12</v>
      </c>
      <c r="I29" s="32">
        <v>38</v>
      </c>
    </row>
    <row r="30" spans="1:9" s="26" customFormat="1" ht="7.5" customHeight="1">
      <c r="A30" s="30"/>
      <c r="B30" s="31"/>
      <c r="C30" s="31"/>
      <c r="D30" s="31"/>
      <c r="E30" s="31"/>
      <c r="F30" s="31"/>
      <c r="G30" s="31"/>
      <c r="H30" s="31"/>
      <c r="I30" s="32"/>
    </row>
    <row r="31" spans="1:9" s="26" customFormat="1" ht="15" customHeight="1">
      <c r="A31" s="30" t="s">
        <v>276</v>
      </c>
      <c r="B31" s="31">
        <v>23</v>
      </c>
      <c r="C31" s="31">
        <v>2</v>
      </c>
      <c r="D31" s="31">
        <v>2</v>
      </c>
      <c r="E31" s="31">
        <v>1</v>
      </c>
      <c r="F31" s="31">
        <v>2</v>
      </c>
      <c r="G31" s="31">
        <v>4</v>
      </c>
      <c r="H31" s="31">
        <v>4</v>
      </c>
      <c r="I31" s="32">
        <v>8</v>
      </c>
    </row>
    <row r="32" spans="1:9" s="26" customFormat="1" ht="15" customHeight="1">
      <c r="A32" s="30" t="s">
        <v>277</v>
      </c>
      <c r="B32" s="31">
        <v>8</v>
      </c>
      <c r="C32" s="33" t="s">
        <v>4</v>
      </c>
      <c r="D32" s="33" t="s">
        <v>4</v>
      </c>
      <c r="E32" s="31">
        <v>3</v>
      </c>
      <c r="F32" s="31">
        <v>2</v>
      </c>
      <c r="G32" s="31">
        <v>2</v>
      </c>
      <c r="H32" s="33" t="s">
        <v>4</v>
      </c>
      <c r="I32" s="32">
        <v>1</v>
      </c>
    </row>
    <row r="33" spans="1:9" s="26" customFormat="1" ht="15" customHeight="1">
      <c r="A33" s="30" t="s">
        <v>278</v>
      </c>
      <c r="B33" s="31">
        <v>90</v>
      </c>
      <c r="C33" s="31">
        <v>25</v>
      </c>
      <c r="D33" s="31">
        <v>11</v>
      </c>
      <c r="E33" s="31">
        <v>9</v>
      </c>
      <c r="F33" s="31">
        <v>13</v>
      </c>
      <c r="G33" s="31">
        <v>9</v>
      </c>
      <c r="H33" s="31">
        <v>4</v>
      </c>
      <c r="I33" s="32">
        <v>19</v>
      </c>
    </row>
    <row r="34" spans="1:9" s="26" customFormat="1" ht="15" customHeight="1">
      <c r="A34" s="30" t="s">
        <v>279</v>
      </c>
      <c r="B34" s="31">
        <v>223</v>
      </c>
      <c r="C34" s="31">
        <v>3</v>
      </c>
      <c r="D34" s="31">
        <v>16</v>
      </c>
      <c r="E34" s="31">
        <v>14</v>
      </c>
      <c r="F34" s="31">
        <v>36</v>
      </c>
      <c r="G34" s="31">
        <v>26</v>
      </c>
      <c r="H34" s="31">
        <v>28</v>
      </c>
      <c r="I34" s="32">
        <v>100</v>
      </c>
    </row>
    <row r="35" spans="1:9" s="26" customFormat="1" ht="15" customHeight="1">
      <c r="A35" s="30" t="s">
        <v>280</v>
      </c>
      <c r="B35" s="31">
        <v>93</v>
      </c>
      <c r="C35" s="31">
        <v>1</v>
      </c>
      <c r="D35" s="31">
        <v>10</v>
      </c>
      <c r="E35" s="31">
        <v>12</v>
      </c>
      <c r="F35" s="31">
        <v>18</v>
      </c>
      <c r="G35" s="31">
        <v>21</v>
      </c>
      <c r="H35" s="31">
        <v>11</v>
      </c>
      <c r="I35" s="32">
        <v>20</v>
      </c>
    </row>
    <row r="36" spans="1:9" s="26" customFormat="1" ht="15" customHeight="1">
      <c r="A36" s="30" t="s">
        <v>281</v>
      </c>
      <c r="B36" s="31">
        <v>110</v>
      </c>
      <c r="C36" s="31">
        <v>2</v>
      </c>
      <c r="D36" s="31">
        <v>9</v>
      </c>
      <c r="E36" s="31">
        <v>10</v>
      </c>
      <c r="F36" s="31">
        <v>13</v>
      </c>
      <c r="G36" s="31">
        <v>23</v>
      </c>
      <c r="H36" s="31">
        <v>15</v>
      </c>
      <c r="I36" s="32">
        <v>38</v>
      </c>
    </row>
    <row r="37" spans="1:9" s="26" customFormat="1" ht="15" customHeight="1">
      <c r="A37" s="30" t="s">
        <v>282</v>
      </c>
      <c r="B37" s="31">
        <v>28</v>
      </c>
      <c r="C37" s="31">
        <v>2</v>
      </c>
      <c r="D37" s="31">
        <v>5</v>
      </c>
      <c r="E37" s="31">
        <v>2</v>
      </c>
      <c r="F37" s="31">
        <v>4</v>
      </c>
      <c r="G37" s="31">
        <v>8</v>
      </c>
      <c r="H37" s="33" t="s">
        <v>4</v>
      </c>
      <c r="I37" s="32">
        <v>7</v>
      </c>
    </row>
    <row r="38" spans="1:9" s="26" customFormat="1" ht="7.5" customHeight="1">
      <c r="A38" s="30"/>
      <c r="B38" s="31"/>
      <c r="C38" s="31"/>
      <c r="D38" s="31"/>
      <c r="E38" s="31"/>
      <c r="F38" s="31"/>
      <c r="G38" s="31"/>
      <c r="H38" s="33"/>
      <c r="I38" s="32"/>
    </row>
    <row r="39" spans="1:9" s="26" customFormat="1" ht="15" customHeight="1">
      <c r="A39" s="30" t="s">
        <v>283</v>
      </c>
      <c r="B39" s="31">
        <v>193</v>
      </c>
      <c r="C39" s="31">
        <v>38</v>
      </c>
      <c r="D39" s="31">
        <v>12</v>
      </c>
      <c r="E39" s="31">
        <v>6</v>
      </c>
      <c r="F39" s="31">
        <v>17</v>
      </c>
      <c r="G39" s="31">
        <v>14</v>
      </c>
      <c r="H39" s="31">
        <v>29</v>
      </c>
      <c r="I39" s="32">
        <v>77</v>
      </c>
    </row>
    <row r="40" spans="1:9" s="26" customFormat="1" ht="15" customHeight="1">
      <c r="A40" s="30" t="s">
        <v>284</v>
      </c>
      <c r="B40" s="31">
        <v>284</v>
      </c>
      <c r="C40" s="31">
        <v>18</v>
      </c>
      <c r="D40" s="31">
        <v>2</v>
      </c>
      <c r="E40" s="31">
        <v>6</v>
      </c>
      <c r="F40" s="31">
        <v>28</v>
      </c>
      <c r="G40" s="31">
        <v>23</v>
      </c>
      <c r="H40" s="31">
        <v>18</v>
      </c>
      <c r="I40" s="32">
        <v>189</v>
      </c>
    </row>
    <row r="41" spans="1:9" s="26" customFormat="1" ht="15" customHeight="1">
      <c r="A41" s="30" t="s">
        <v>285</v>
      </c>
      <c r="B41" s="31">
        <v>132</v>
      </c>
      <c r="C41" s="31">
        <v>40</v>
      </c>
      <c r="D41" s="31">
        <v>6</v>
      </c>
      <c r="E41" s="31">
        <v>4</v>
      </c>
      <c r="F41" s="31">
        <v>9</v>
      </c>
      <c r="G41" s="31">
        <v>12</v>
      </c>
      <c r="H41" s="31">
        <v>9</v>
      </c>
      <c r="I41" s="32">
        <v>52</v>
      </c>
    </row>
    <row r="42" spans="1:9" s="26" customFormat="1" ht="15" customHeight="1">
      <c r="A42" s="30" t="s">
        <v>286</v>
      </c>
      <c r="B42" s="31">
        <v>175</v>
      </c>
      <c r="C42" s="31">
        <v>5</v>
      </c>
      <c r="D42" s="31">
        <v>2</v>
      </c>
      <c r="E42" s="31">
        <v>2</v>
      </c>
      <c r="F42" s="31">
        <v>6</v>
      </c>
      <c r="G42" s="31">
        <v>11</v>
      </c>
      <c r="H42" s="31">
        <v>31</v>
      </c>
      <c r="I42" s="32">
        <v>118</v>
      </c>
    </row>
    <row r="43" spans="1:9" s="26" customFormat="1" ht="15" customHeight="1">
      <c r="A43" s="30" t="s">
        <v>287</v>
      </c>
      <c r="B43" s="31">
        <v>31</v>
      </c>
      <c r="C43" s="31">
        <v>2</v>
      </c>
      <c r="D43" s="33" t="s">
        <v>4</v>
      </c>
      <c r="E43" s="31">
        <v>2</v>
      </c>
      <c r="F43" s="31">
        <v>2</v>
      </c>
      <c r="G43" s="31">
        <v>4</v>
      </c>
      <c r="H43" s="31">
        <v>7</v>
      </c>
      <c r="I43" s="32">
        <v>14</v>
      </c>
    </row>
    <row r="44" spans="1:9" s="26" customFormat="1" ht="15" customHeight="1">
      <c r="A44" s="30" t="s">
        <v>288</v>
      </c>
      <c r="B44" s="31">
        <v>49</v>
      </c>
      <c r="C44" s="31">
        <v>1</v>
      </c>
      <c r="D44" s="33" t="s">
        <v>4</v>
      </c>
      <c r="E44" s="31">
        <v>3</v>
      </c>
      <c r="F44" s="31">
        <v>3</v>
      </c>
      <c r="G44" s="31">
        <v>3</v>
      </c>
      <c r="H44" s="31">
        <v>6</v>
      </c>
      <c r="I44" s="32">
        <v>33</v>
      </c>
    </row>
    <row r="45" spans="1:9" s="26" customFormat="1" ht="15" customHeight="1">
      <c r="A45" s="30" t="s">
        <v>289</v>
      </c>
      <c r="B45" s="31">
        <v>54</v>
      </c>
      <c r="C45" s="31">
        <v>4</v>
      </c>
      <c r="D45" s="31">
        <v>2</v>
      </c>
      <c r="E45" s="31">
        <v>4</v>
      </c>
      <c r="F45" s="31">
        <v>8</v>
      </c>
      <c r="G45" s="31">
        <v>8</v>
      </c>
      <c r="H45" s="31">
        <v>6</v>
      </c>
      <c r="I45" s="32">
        <v>22</v>
      </c>
    </row>
    <row r="46" spans="1:9" s="26" customFormat="1" ht="7.5" customHeight="1">
      <c r="A46" s="30"/>
      <c r="B46" s="31"/>
      <c r="C46" s="31"/>
      <c r="D46" s="31"/>
      <c r="E46" s="31"/>
      <c r="F46" s="31"/>
      <c r="G46" s="31"/>
      <c r="H46" s="31"/>
      <c r="I46" s="32"/>
    </row>
    <row r="47" spans="1:9" s="26" customFormat="1" ht="15" customHeight="1">
      <c r="A47" s="30" t="s">
        <v>290</v>
      </c>
      <c r="B47" s="31">
        <v>31</v>
      </c>
      <c r="C47" s="31">
        <v>4</v>
      </c>
      <c r="D47" s="31">
        <v>1</v>
      </c>
      <c r="E47" s="31">
        <v>3</v>
      </c>
      <c r="F47" s="31">
        <v>3</v>
      </c>
      <c r="G47" s="31">
        <v>5</v>
      </c>
      <c r="H47" s="31">
        <v>4</v>
      </c>
      <c r="I47" s="32">
        <v>11</v>
      </c>
    </row>
    <row r="48" spans="1:9" s="26" customFormat="1" ht="15" customHeight="1">
      <c r="A48" s="30" t="s">
        <v>291</v>
      </c>
      <c r="B48" s="31">
        <v>22</v>
      </c>
      <c r="C48" s="31">
        <v>8</v>
      </c>
      <c r="D48" s="31">
        <v>2</v>
      </c>
      <c r="E48" s="31">
        <v>2</v>
      </c>
      <c r="F48" s="31">
        <v>5</v>
      </c>
      <c r="G48" s="31">
        <v>1</v>
      </c>
      <c r="H48" s="33" t="s">
        <v>4</v>
      </c>
      <c r="I48" s="32">
        <v>4</v>
      </c>
    </row>
    <row r="49" spans="1:9" s="26" customFormat="1" ht="15" customHeight="1">
      <c r="A49" s="30" t="s">
        <v>292</v>
      </c>
      <c r="B49" s="31">
        <v>92</v>
      </c>
      <c r="C49" s="31">
        <v>9</v>
      </c>
      <c r="D49" s="31">
        <v>5</v>
      </c>
      <c r="E49" s="31">
        <v>8</v>
      </c>
      <c r="F49" s="31">
        <v>18</v>
      </c>
      <c r="G49" s="31">
        <v>10</v>
      </c>
      <c r="H49" s="31">
        <v>16</v>
      </c>
      <c r="I49" s="32">
        <v>26</v>
      </c>
    </row>
    <row r="50" spans="1:9" s="26" customFormat="1" ht="15" customHeight="1">
      <c r="A50" s="30" t="s">
        <v>293</v>
      </c>
      <c r="B50" s="31">
        <v>70</v>
      </c>
      <c r="C50" s="31">
        <v>2</v>
      </c>
      <c r="D50" s="31">
        <v>4</v>
      </c>
      <c r="E50" s="31">
        <v>7</v>
      </c>
      <c r="F50" s="31">
        <v>7</v>
      </c>
      <c r="G50" s="31">
        <v>12</v>
      </c>
      <c r="H50" s="31">
        <v>6</v>
      </c>
      <c r="I50" s="32">
        <v>32</v>
      </c>
    </row>
    <row r="51" spans="1:9" s="26" customFormat="1" ht="15" customHeight="1">
      <c r="A51" s="30" t="s">
        <v>294</v>
      </c>
      <c r="B51" s="31">
        <v>70</v>
      </c>
      <c r="C51" s="31">
        <v>8</v>
      </c>
      <c r="D51" s="31">
        <v>9</v>
      </c>
      <c r="E51" s="31">
        <v>13</v>
      </c>
      <c r="F51" s="31">
        <v>12</v>
      </c>
      <c r="G51" s="31">
        <v>11</v>
      </c>
      <c r="H51" s="31">
        <v>5</v>
      </c>
      <c r="I51" s="32">
        <v>12</v>
      </c>
    </row>
    <row r="52" spans="1:9" s="26" customFormat="1" ht="7.5" customHeight="1">
      <c r="A52" s="30"/>
      <c r="B52" s="31"/>
      <c r="C52" s="31"/>
      <c r="D52" s="31"/>
      <c r="E52" s="31"/>
      <c r="F52" s="31"/>
      <c r="G52" s="31"/>
      <c r="H52" s="31"/>
      <c r="I52" s="32"/>
    </row>
    <row r="53" spans="1:9" s="26" customFormat="1" ht="15" customHeight="1">
      <c r="A53" s="30" t="s">
        <v>295</v>
      </c>
      <c r="B53" s="31">
        <v>41</v>
      </c>
      <c r="C53" s="31">
        <v>1</v>
      </c>
      <c r="D53" s="33" t="s">
        <v>4</v>
      </c>
      <c r="E53" s="33" t="s">
        <v>4</v>
      </c>
      <c r="F53" s="33" t="s">
        <v>4</v>
      </c>
      <c r="G53" s="31">
        <v>3</v>
      </c>
      <c r="H53" s="31">
        <v>3</v>
      </c>
      <c r="I53" s="32">
        <v>34</v>
      </c>
    </row>
    <row r="54" spans="1:9" s="26" customFormat="1" ht="15" customHeight="1">
      <c r="A54" s="30" t="s">
        <v>296</v>
      </c>
      <c r="B54" s="31">
        <v>2</v>
      </c>
      <c r="C54" s="33" t="s">
        <v>4</v>
      </c>
      <c r="D54" s="33" t="s">
        <v>4</v>
      </c>
      <c r="E54" s="33" t="s">
        <v>4</v>
      </c>
      <c r="F54" s="33" t="s">
        <v>4</v>
      </c>
      <c r="G54" s="33" t="s">
        <v>4</v>
      </c>
      <c r="H54" s="33" t="s">
        <v>4</v>
      </c>
      <c r="I54" s="32">
        <v>2</v>
      </c>
    </row>
    <row r="55" spans="1:9" s="26" customFormat="1" ht="15" customHeight="1">
      <c r="A55" s="30" t="s">
        <v>297</v>
      </c>
      <c r="B55" s="31">
        <v>20</v>
      </c>
      <c r="C55" s="33" t="s">
        <v>4</v>
      </c>
      <c r="D55" s="33" t="s">
        <v>4</v>
      </c>
      <c r="E55" s="33" t="s">
        <v>4</v>
      </c>
      <c r="F55" s="31">
        <v>2</v>
      </c>
      <c r="G55" s="33" t="s">
        <v>4</v>
      </c>
      <c r="H55" s="31">
        <v>3</v>
      </c>
      <c r="I55" s="32">
        <v>15</v>
      </c>
    </row>
    <row r="56" spans="1:9" s="26" customFormat="1" ht="15" customHeight="1">
      <c r="A56" s="30" t="s">
        <v>298</v>
      </c>
      <c r="B56" s="31">
        <v>14</v>
      </c>
      <c r="C56" s="33" t="s">
        <v>4</v>
      </c>
      <c r="D56" s="33" t="s">
        <v>4</v>
      </c>
      <c r="E56" s="33" t="s">
        <v>4</v>
      </c>
      <c r="F56" s="33" t="s">
        <v>4</v>
      </c>
      <c r="G56" s="33" t="s">
        <v>4</v>
      </c>
      <c r="H56" s="31">
        <v>2</v>
      </c>
      <c r="I56" s="32">
        <v>12</v>
      </c>
    </row>
    <row r="57" spans="1:9" s="26" customFormat="1" ht="15" customHeight="1">
      <c r="A57" s="30" t="s">
        <v>299</v>
      </c>
      <c r="B57" s="31">
        <v>30</v>
      </c>
      <c r="C57" s="31">
        <v>3</v>
      </c>
      <c r="D57" s="31">
        <v>2</v>
      </c>
      <c r="E57" s="33" t="s">
        <v>4</v>
      </c>
      <c r="F57" s="31">
        <v>4</v>
      </c>
      <c r="G57" s="31">
        <v>1</v>
      </c>
      <c r="H57" s="31">
        <v>7</v>
      </c>
      <c r="I57" s="32">
        <v>13</v>
      </c>
    </row>
    <row r="58" spans="1:9" s="26" customFormat="1" ht="15" customHeight="1">
      <c r="A58" s="30" t="s">
        <v>300</v>
      </c>
      <c r="B58" s="31">
        <v>3</v>
      </c>
      <c r="C58" s="33" t="s">
        <v>4</v>
      </c>
      <c r="D58" s="33" t="s">
        <v>4</v>
      </c>
      <c r="E58" s="33" t="s">
        <v>4</v>
      </c>
      <c r="F58" s="33" t="s">
        <v>4</v>
      </c>
      <c r="G58" s="31">
        <v>1</v>
      </c>
      <c r="H58" s="33" t="s">
        <v>4</v>
      </c>
      <c r="I58" s="32">
        <v>2</v>
      </c>
    </row>
    <row r="59" spans="1:9" s="26" customFormat="1" ht="15" customHeight="1">
      <c r="A59" s="30" t="s">
        <v>301</v>
      </c>
      <c r="B59" s="31">
        <v>568</v>
      </c>
      <c r="C59" s="31">
        <v>110</v>
      </c>
      <c r="D59" s="31">
        <v>90</v>
      </c>
      <c r="E59" s="31">
        <v>70</v>
      </c>
      <c r="F59" s="31">
        <v>120</v>
      </c>
      <c r="G59" s="31">
        <v>84</v>
      </c>
      <c r="H59" s="31">
        <v>53</v>
      </c>
      <c r="I59" s="32">
        <v>41</v>
      </c>
    </row>
    <row r="60" spans="1:9" s="26" customFormat="1" ht="15" customHeight="1">
      <c r="A60" s="30" t="s">
        <v>302</v>
      </c>
      <c r="B60" s="31">
        <v>189</v>
      </c>
      <c r="C60" s="33" t="s">
        <v>4</v>
      </c>
      <c r="D60" s="31">
        <v>9</v>
      </c>
      <c r="E60" s="31">
        <v>9</v>
      </c>
      <c r="F60" s="31">
        <v>21</v>
      </c>
      <c r="G60" s="31">
        <v>30</v>
      </c>
      <c r="H60" s="31">
        <v>32</v>
      </c>
      <c r="I60" s="32">
        <v>88</v>
      </c>
    </row>
    <row r="61" spans="1:9" s="26" customFormat="1" ht="15" customHeight="1">
      <c r="A61" s="30" t="s">
        <v>303</v>
      </c>
      <c r="B61" s="31">
        <v>103</v>
      </c>
      <c r="C61" s="31">
        <v>1</v>
      </c>
      <c r="D61" s="33" t="s">
        <v>4</v>
      </c>
      <c r="E61" s="33" t="s">
        <v>4</v>
      </c>
      <c r="F61" s="31">
        <v>2</v>
      </c>
      <c r="G61" s="31">
        <v>2</v>
      </c>
      <c r="H61" s="31">
        <v>3</v>
      </c>
      <c r="I61" s="32">
        <v>95</v>
      </c>
    </row>
    <row r="62" spans="1:9" s="26" customFormat="1" ht="15" customHeight="1">
      <c r="A62" s="30" t="s">
        <v>304</v>
      </c>
      <c r="B62" s="31">
        <v>195</v>
      </c>
      <c r="C62" s="31">
        <v>1</v>
      </c>
      <c r="D62" s="31">
        <v>4</v>
      </c>
      <c r="E62" s="31">
        <v>1</v>
      </c>
      <c r="F62" s="31">
        <v>3</v>
      </c>
      <c r="G62" s="31">
        <v>10</v>
      </c>
      <c r="H62" s="31">
        <v>5</v>
      </c>
      <c r="I62" s="32">
        <v>171</v>
      </c>
    </row>
    <row r="63" spans="1:9" s="26" customFormat="1" ht="15" customHeight="1">
      <c r="A63" s="30" t="s">
        <v>305</v>
      </c>
      <c r="B63" s="31">
        <v>67</v>
      </c>
      <c r="C63" s="31">
        <v>1</v>
      </c>
      <c r="D63" s="33" t="s">
        <v>4</v>
      </c>
      <c r="E63" s="31">
        <v>1</v>
      </c>
      <c r="F63" s="33" t="s">
        <v>4</v>
      </c>
      <c r="G63" s="31">
        <v>3</v>
      </c>
      <c r="H63" s="31">
        <v>13</v>
      </c>
      <c r="I63" s="32">
        <v>49</v>
      </c>
    </row>
    <row r="64" spans="1:9" s="26" customFormat="1" ht="15" customHeight="1" thickBot="1">
      <c r="A64" s="34" t="s">
        <v>306</v>
      </c>
      <c r="B64" s="35">
        <v>134</v>
      </c>
      <c r="C64" s="36" t="s">
        <v>4</v>
      </c>
      <c r="D64" s="36" t="s">
        <v>4</v>
      </c>
      <c r="E64" s="35">
        <v>2</v>
      </c>
      <c r="F64" s="35">
        <v>1</v>
      </c>
      <c r="G64" s="35">
        <v>4</v>
      </c>
      <c r="H64" s="35">
        <v>8</v>
      </c>
      <c r="I64" s="37">
        <v>119</v>
      </c>
    </row>
    <row r="65" s="26" customFormat="1" ht="15" customHeight="1">
      <c r="A65" s="300" t="s">
        <v>20</v>
      </c>
    </row>
  </sheetData>
  <mergeCells count="9">
    <mergeCell ref="I3:I7"/>
    <mergeCell ref="E3:E7"/>
    <mergeCell ref="F3:F7"/>
    <mergeCell ref="G3:G7"/>
    <mergeCell ref="H3:H7"/>
    <mergeCell ref="A3:A7"/>
    <mergeCell ref="C3:C7"/>
    <mergeCell ref="B3:B7"/>
    <mergeCell ref="D3:D7"/>
  </mergeCells>
  <printOptions/>
  <pageMargins left="0.7874015748031497" right="0.7874015748031497" top="0.2362204724409449" bottom="0.15748031496062992" header="0.11811023622047245" footer="0.2362204724409449"/>
  <pageSetup horizontalDpi="600" verticalDpi="600" orientation="portrait" paperSize="9" r:id="rId1"/>
  <headerFooter alignWithMargins="0">
    <oddHeader>&amp;R&amp;D&amp;T</oddHeader>
  </headerFooter>
</worksheet>
</file>

<file path=xl/worksheets/sheet5.xml><?xml version="1.0" encoding="utf-8"?>
<worksheet xmlns="http://schemas.openxmlformats.org/spreadsheetml/2006/main" xmlns:r="http://schemas.openxmlformats.org/officeDocument/2006/relationships">
  <dimension ref="A1:K65"/>
  <sheetViews>
    <sheetView workbookViewId="0" topLeftCell="A1">
      <selection activeCell="A1" sqref="A1"/>
    </sheetView>
  </sheetViews>
  <sheetFormatPr defaultColWidth="9.00390625" defaultRowHeight="13.5"/>
  <cols>
    <col min="1" max="1" width="10.625" style="58" customWidth="1"/>
    <col min="2" max="2" width="9.625" style="59" customWidth="1"/>
    <col min="3" max="3" width="10.625" style="59" customWidth="1"/>
    <col min="4" max="5" width="8.625" style="59" customWidth="1"/>
    <col min="6" max="6" width="8.625" style="39" customWidth="1"/>
    <col min="7" max="7" width="9.125" style="39" customWidth="1"/>
    <col min="8" max="8" width="8.625" style="39" customWidth="1"/>
    <col min="9" max="9" width="9.125" style="39" customWidth="1"/>
    <col min="10" max="10" width="8.625" style="39" customWidth="1"/>
    <col min="11" max="11" width="9.125" style="39" customWidth="1"/>
    <col min="12" max="16384" width="14.125" style="39" customWidth="1"/>
  </cols>
  <sheetData>
    <row r="1" spans="1:5" ht="18" customHeight="1">
      <c r="A1" s="38" t="s">
        <v>310</v>
      </c>
      <c r="B1" s="4"/>
      <c r="C1" s="4"/>
      <c r="D1" s="3"/>
      <c r="E1" s="4"/>
    </row>
    <row r="2" spans="1:11" ht="15" customHeight="1" thickBot="1">
      <c r="A2" s="40"/>
      <c r="B2" s="4"/>
      <c r="C2" s="41"/>
      <c r="D2" s="4"/>
      <c r="E2" s="4"/>
      <c r="K2" s="42" t="s">
        <v>381</v>
      </c>
    </row>
    <row r="3" spans="1:11" s="43" customFormat="1" ht="9.75" customHeight="1" thickTop="1">
      <c r="A3" s="385" t="s">
        <v>6</v>
      </c>
      <c r="B3" s="415" t="s">
        <v>16</v>
      </c>
      <c r="C3" s="388"/>
      <c r="D3" s="415" t="s">
        <v>21</v>
      </c>
      <c r="E3" s="388"/>
      <c r="F3" s="415" t="s">
        <v>22</v>
      </c>
      <c r="G3" s="418"/>
      <c r="H3" s="415" t="s">
        <v>23</v>
      </c>
      <c r="I3" s="418"/>
      <c r="J3" s="415" t="s">
        <v>24</v>
      </c>
      <c r="K3" s="420"/>
    </row>
    <row r="4" spans="1:11" s="43" customFormat="1" ht="9.75" customHeight="1">
      <c r="A4" s="386"/>
      <c r="B4" s="389"/>
      <c r="C4" s="390"/>
      <c r="D4" s="389"/>
      <c r="E4" s="390"/>
      <c r="F4" s="417"/>
      <c r="G4" s="419"/>
      <c r="H4" s="417"/>
      <c r="I4" s="419"/>
      <c r="J4" s="417"/>
      <c r="K4" s="421"/>
    </row>
    <row r="5" spans="1:11" s="43" customFormat="1" ht="9.75" customHeight="1">
      <c r="A5" s="386"/>
      <c r="B5" s="391" t="s">
        <v>25</v>
      </c>
      <c r="C5" s="391" t="s">
        <v>311</v>
      </c>
      <c r="D5" s="391" t="s">
        <v>26</v>
      </c>
      <c r="E5" s="391" t="s">
        <v>312</v>
      </c>
      <c r="F5" s="391" t="s">
        <v>26</v>
      </c>
      <c r="G5" s="391" t="s">
        <v>312</v>
      </c>
      <c r="H5" s="391" t="s">
        <v>26</v>
      </c>
      <c r="I5" s="391" t="s">
        <v>312</v>
      </c>
      <c r="J5" s="391" t="s">
        <v>26</v>
      </c>
      <c r="K5" s="392" t="s">
        <v>312</v>
      </c>
    </row>
    <row r="6" spans="1:11" s="43" customFormat="1" ht="9.75" customHeight="1">
      <c r="A6" s="386"/>
      <c r="B6" s="413"/>
      <c r="C6" s="413"/>
      <c r="D6" s="413"/>
      <c r="E6" s="413"/>
      <c r="F6" s="413"/>
      <c r="G6" s="413"/>
      <c r="H6" s="413"/>
      <c r="I6" s="413"/>
      <c r="J6" s="413"/>
      <c r="K6" s="416"/>
    </row>
    <row r="7" spans="1:11" s="43" customFormat="1" ht="9.75" customHeight="1">
      <c r="A7" s="387"/>
      <c r="B7" s="414"/>
      <c r="C7" s="414"/>
      <c r="D7" s="414"/>
      <c r="E7" s="414"/>
      <c r="F7" s="414"/>
      <c r="G7" s="414"/>
      <c r="H7" s="414"/>
      <c r="I7" s="414"/>
      <c r="J7" s="414"/>
      <c r="K7" s="417"/>
    </row>
    <row r="8" spans="1:11" s="46" customFormat="1" ht="15" customHeight="1">
      <c r="A8" s="301" t="s">
        <v>12</v>
      </c>
      <c r="B8" s="44">
        <v>3965</v>
      </c>
      <c r="C8" s="44">
        <v>4290143</v>
      </c>
      <c r="D8" s="44">
        <v>1101</v>
      </c>
      <c r="E8" s="44">
        <v>261340</v>
      </c>
      <c r="F8" s="44">
        <v>2457</v>
      </c>
      <c r="G8" s="44">
        <v>1148051</v>
      </c>
      <c r="H8" s="44">
        <v>2623</v>
      </c>
      <c r="I8" s="44">
        <v>1184310</v>
      </c>
      <c r="J8" s="44">
        <v>2475</v>
      </c>
      <c r="K8" s="45">
        <v>1696442</v>
      </c>
    </row>
    <row r="9" spans="1:11" s="46" customFormat="1" ht="7.5" customHeight="1">
      <c r="A9" s="47"/>
      <c r="B9" s="48"/>
      <c r="C9" s="48"/>
      <c r="D9" s="48"/>
      <c r="E9" s="48"/>
      <c r="F9" s="48"/>
      <c r="G9" s="48"/>
      <c r="H9" s="48"/>
      <c r="I9" s="48"/>
      <c r="J9" s="48"/>
      <c r="K9" s="49"/>
    </row>
    <row r="10" spans="1:11" s="46" customFormat="1" ht="15" customHeight="1">
      <c r="A10" s="50" t="s">
        <v>0</v>
      </c>
      <c r="B10" s="51">
        <v>1023</v>
      </c>
      <c r="C10" s="51">
        <v>1170233</v>
      </c>
      <c r="D10" s="51">
        <v>296</v>
      </c>
      <c r="E10" s="51">
        <v>53870</v>
      </c>
      <c r="F10" s="51">
        <v>637</v>
      </c>
      <c r="G10" s="51">
        <v>291303</v>
      </c>
      <c r="H10" s="51">
        <v>622</v>
      </c>
      <c r="I10" s="51">
        <v>295900</v>
      </c>
      <c r="J10" s="51">
        <v>652</v>
      </c>
      <c r="K10" s="52">
        <v>528690</v>
      </c>
    </row>
    <row r="11" spans="1:11" s="46" customFormat="1" ht="15" customHeight="1">
      <c r="A11" s="50" t="s">
        <v>1</v>
      </c>
      <c r="B11" s="51">
        <v>886</v>
      </c>
      <c r="C11" s="51">
        <v>924485</v>
      </c>
      <c r="D11" s="51">
        <v>232</v>
      </c>
      <c r="E11" s="51">
        <v>85631</v>
      </c>
      <c r="F11" s="51">
        <v>581</v>
      </c>
      <c r="G11" s="51">
        <v>255543</v>
      </c>
      <c r="H11" s="51">
        <v>595</v>
      </c>
      <c r="I11" s="51">
        <v>238993</v>
      </c>
      <c r="J11" s="51">
        <v>510</v>
      </c>
      <c r="K11" s="52">
        <v>344318</v>
      </c>
    </row>
    <row r="12" spans="1:11" s="46" customFormat="1" ht="15" customHeight="1">
      <c r="A12" s="50" t="s">
        <v>2</v>
      </c>
      <c r="B12" s="51">
        <v>484</v>
      </c>
      <c r="C12" s="51">
        <v>839811</v>
      </c>
      <c r="D12" s="51">
        <v>168</v>
      </c>
      <c r="E12" s="51">
        <v>65476</v>
      </c>
      <c r="F12" s="51">
        <v>335</v>
      </c>
      <c r="G12" s="51">
        <v>279371</v>
      </c>
      <c r="H12" s="51">
        <v>312</v>
      </c>
      <c r="I12" s="51">
        <v>222960</v>
      </c>
      <c r="J12" s="51">
        <v>309</v>
      </c>
      <c r="K12" s="52">
        <v>272004</v>
      </c>
    </row>
    <row r="13" spans="1:11" s="46" customFormat="1" ht="15" customHeight="1">
      <c r="A13" s="50" t="s">
        <v>3</v>
      </c>
      <c r="B13" s="51">
        <v>1572</v>
      </c>
      <c r="C13" s="51">
        <v>1351741</v>
      </c>
      <c r="D13" s="51">
        <v>405</v>
      </c>
      <c r="E13" s="51">
        <v>54943</v>
      </c>
      <c r="F13" s="51">
        <v>904</v>
      </c>
      <c r="G13" s="51">
        <v>314107</v>
      </c>
      <c r="H13" s="51">
        <v>1094</v>
      </c>
      <c r="I13" s="51">
        <v>425689</v>
      </c>
      <c r="J13" s="51">
        <v>1004</v>
      </c>
      <c r="K13" s="52">
        <v>548094</v>
      </c>
    </row>
    <row r="14" spans="1:11" s="46" customFormat="1" ht="7.5" customHeight="1">
      <c r="A14" s="47"/>
      <c r="B14" s="48"/>
      <c r="C14" s="48"/>
      <c r="D14" s="48"/>
      <c r="E14" s="48"/>
      <c r="F14" s="48"/>
      <c r="G14" s="48"/>
      <c r="H14" s="48"/>
      <c r="I14" s="48"/>
      <c r="J14" s="48"/>
      <c r="K14" s="49"/>
    </row>
    <row r="15" spans="1:11" s="46" customFormat="1" ht="15" customHeight="1">
      <c r="A15" s="47" t="s">
        <v>263</v>
      </c>
      <c r="B15" s="53">
        <v>133</v>
      </c>
      <c r="C15" s="53">
        <v>431266</v>
      </c>
      <c r="D15" s="53">
        <v>40</v>
      </c>
      <c r="E15" s="53">
        <v>4305</v>
      </c>
      <c r="F15" s="53">
        <v>79</v>
      </c>
      <c r="G15" s="53">
        <v>85082</v>
      </c>
      <c r="H15" s="53">
        <v>76</v>
      </c>
      <c r="I15" s="53">
        <v>79388</v>
      </c>
      <c r="J15" s="53">
        <v>83</v>
      </c>
      <c r="K15" s="49">
        <v>262491</v>
      </c>
    </row>
    <row r="16" spans="1:11" s="46" customFormat="1" ht="15" customHeight="1">
      <c r="A16" s="47" t="s">
        <v>264</v>
      </c>
      <c r="B16" s="53">
        <v>106</v>
      </c>
      <c r="C16" s="53">
        <v>127152</v>
      </c>
      <c r="D16" s="53">
        <v>32</v>
      </c>
      <c r="E16" s="53">
        <v>8669</v>
      </c>
      <c r="F16" s="53">
        <v>76</v>
      </c>
      <c r="G16" s="53">
        <v>40899</v>
      </c>
      <c r="H16" s="53">
        <v>71</v>
      </c>
      <c r="I16" s="53">
        <v>43548</v>
      </c>
      <c r="J16" s="53">
        <v>65</v>
      </c>
      <c r="K16" s="49">
        <v>34036</v>
      </c>
    </row>
    <row r="17" spans="1:11" s="46" customFormat="1" ht="15" customHeight="1">
      <c r="A17" s="47" t="s">
        <v>265</v>
      </c>
      <c r="B17" s="53">
        <v>278</v>
      </c>
      <c r="C17" s="53">
        <v>353301</v>
      </c>
      <c r="D17" s="53">
        <v>64</v>
      </c>
      <c r="E17" s="53">
        <v>12367</v>
      </c>
      <c r="F17" s="53">
        <v>176</v>
      </c>
      <c r="G17" s="53">
        <v>61178</v>
      </c>
      <c r="H17" s="53">
        <v>182</v>
      </c>
      <c r="I17" s="53">
        <v>86035</v>
      </c>
      <c r="J17" s="53">
        <v>186</v>
      </c>
      <c r="K17" s="49">
        <v>193721</v>
      </c>
    </row>
    <row r="18" spans="1:11" s="46" customFormat="1" ht="15" customHeight="1">
      <c r="A18" s="47" t="s">
        <v>266</v>
      </c>
      <c r="B18" s="53">
        <v>45</v>
      </c>
      <c r="C18" s="53">
        <v>27364</v>
      </c>
      <c r="D18" s="53">
        <v>15</v>
      </c>
      <c r="E18" s="53">
        <v>1206</v>
      </c>
      <c r="F18" s="53">
        <v>27</v>
      </c>
      <c r="G18" s="53">
        <v>8884</v>
      </c>
      <c r="H18" s="53">
        <v>34</v>
      </c>
      <c r="I18" s="53">
        <v>8725</v>
      </c>
      <c r="J18" s="53">
        <v>27</v>
      </c>
      <c r="K18" s="49">
        <v>8549</v>
      </c>
    </row>
    <row r="19" spans="1:11" s="46" customFormat="1" ht="7.5" customHeight="1">
      <c r="A19" s="47"/>
      <c r="B19" s="53"/>
      <c r="C19" s="53"/>
      <c r="D19" s="53"/>
      <c r="E19" s="53"/>
      <c r="F19" s="53"/>
      <c r="G19" s="53"/>
      <c r="H19" s="53"/>
      <c r="I19" s="53"/>
      <c r="J19" s="53"/>
      <c r="K19" s="49"/>
    </row>
    <row r="20" spans="1:11" s="46" customFormat="1" ht="15" customHeight="1">
      <c r="A20" s="47" t="s">
        <v>267</v>
      </c>
      <c r="B20" s="53">
        <v>76</v>
      </c>
      <c r="C20" s="53">
        <v>267740</v>
      </c>
      <c r="D20" s="53">
        <v>24</v>
      </c>
      <c r="E20" s="53">
        <v>29527</v>
      </c>
      <c r="F20" s="53">
        <v>56</v>
      </c>
      <c r="G20" s="53">
        <v>81517</v>
      </c>
      <c r="H20" s="53">
        <v>48</v>
      </c>
      <c r="I20" s="53">
        <v>58587</v>
      </c>
      <c r="J20" s="53">
        <v>46</v>
      </c>
      <c r="K20" s="49">
        <v>98109</v>
      </c>
    </row>
    <row r="21" spans="1:11" s="46" customFormat="1" ht="15" customHeight="1">
      <c r="A21" s="47" t="s">
        <v>268</v>
      </c>
      <c r="B21" s="53">
        <v>38</v>
      </c>
      <c r="C21" s="53">
        <v>30939</v>
      </c>
      <c r="D21" s="53">
        <v>15</v>
      </c>
      <c r="E21" s="53">
        <v>2205</v>
      </c>
      <c r="F21" s="53">
        <v>27</v>
      </c>
      <c r="G21" s="53">
        <v>8434</v>
      </c>
      <c r="H21" s="53">
        <v>26</v>
      </c>
      <c r="I21" s="53">
        <v>11905</v>
      </c>
      <c r="J21" s="53">
        <v>21</v>
      </c>
      <c r="K21" s="49">
        <v>8395</v>
      </c>
    </row>
    <row r="22" spans="1:11" s="46" customFormat="1" ht="15" customHeight="1">
      <c r="A22" s="47" t="s">
        <v>269</v>
      </c>
      <c r="B22" s="53">
        <v>85</v>
      </c>
      <c r="C22" s="53">
        <v>90444</v>
      </c>
      <c r="D22" s="53">
        <v>22</v>
      </c>
      <c r="E22" s="53">
        <v>5732</v>
      </c>
      <c r="F22" s="53">
        <v>61</v>
      </c>
      <c r="G22" s="53">
        <v>37609</v>
      </c>
      <c r="H22" s="53">
        <v>52</v>
      </c>
      <c r="I22" s="53">
        <v>24339</v>
      </c>
      <c r="J22" s="53">
        <v>51</v>
      </c>
      <c r="K22" s="49">
        <v>22764</v>
      </c>
    </row>
    <row r="23" spans="1:11" s="46" customFormat="1" ht="15" customHeight="1">
      <c r="A23" s="47" t="s">
        <v>270</v>
      </c>
      <c r="B23" s="53">
        <v>58</v>
      </c>
      <c r="C23" s="53">
        <v>23573</v>
      </c>
      <c r="D23" s="53">
        <v>22</v>
      </c>
      <c r="E23" s="53">
        <v>4572</v>
      </c>
      <c r="F23" s="53">
        <v>39</v>
      </c>
      <c r="G23" s="53">
        <v>6975</v>
      </c>
      <c r="H23" s="53">
        <v>32</v>
      </c>
      <c r="I23" s="53">
        <v>5886</v>
      </c>
      <c r="J23" s="53">
        <v>36</v>
      </c>
      <c r="K23" s="49">
        <v>6140</v>
      </c>
    </row>
    <row r="24" spans="1:11" s="46" customFormat="1" ht="7.5" customHeight="1">
      <c r="A24" s="47"/>
      <c r="B24" s="53"/>
      <c r="C24" s="53"/>
      <c r="D24" s="53"/>
      <c r="E24" s="53"/>
      <c r="F24" s="53"/>
      <c r="G24" s="53"/>
      <c r="H24" s="53"/>
      <c r="I24" s="53"/>
      <c r="J24" s="53"/>
      <c r="K24" s="49"/>
    </row>
    <row r="25" spans="1:11" s="46" customFormat="1" ht="15" customHeight="1">
      <c r="A25" s="47" t="s">
        <v>271</v>
      </c>
      <c r="B25" s="53">
        <v>35</v>
      </c>
      <c r="C25" s="53">
        <v>63390</v>
      </c>
      <c r="D25" s="53">
        <v>17</v>
      </c>
      <c r="E25" s="53">
        <v>3707</v>
      </c>
      <c r="F25" s="53">
        <v>22</v>
      </c>
      <c r="G25" s="53">
        <v>33534</v>
      </c>
      <c r="H25" s="53">
        <v>19</v>
      </c>
      <c r="I25" s="53">
        <v>8097</v>
      </c>
      <c r="J25" s="53">
        <v>22</v>
      </c>
      <c r="K25" s="49">
        <v>18052</v>
      </c>
    </row>
    <row r="26" spans="1:11" s="46" customFormat="1" ht="15" customHeight="1">
      <c r="A26" s="47" t="s">
        <v>272</v>
      </c>
      <c r="B26" s="53">
        <v>21</v>
      </c>
      <c r="C26" s="53">
        <v>8980</v>
      </c>
      <c r="D26" s="53">
        <v>4</v>
      </c>
      <c r="E26" s="53">
        <v>420</v>
      </c>
      <c r="F26" s="53">
        <v>10</v>
      </c>
      <c r="G26" s="53">
        <v>3560</v>
      </c>
      <c r="H26" s="53">
        <v>9</v>
      </c>
      <c r="I26" s="53">
        <v>2130</v>
      </c>
      <c r="J26" s="53">
        <v>10</v>
      </c>
      <c r="K26" s="49">
        <v>2870</v>
      </c>
    </row>
    <row r="27" spans="1:11" s="46" customFormat="1" ht="15" customHeight="1">
      <c r="A27" s="47" t="s">
        <v>273</v>
      </c>
      <c r="B27" s="53">
        <v>24</v>
      </c>
      <c r="C27" s="53">
        <v>28394</v>
      </c>
      <c r="D27" s="53">
        <v>8</v>
      </c>
      <c r="E27" s="53">
        <v>877</v>
      </c>
      <c r="F27" s="53">
        <v>16</v>
      </c>
      <c r="G27" s="53">
        <v>8922</v>
      </c>
      <c r="H27" s="53">
        <v>10</v>
      </c>
      <c r="I27" s="53">
        <v>5700</v>
      </c>
      <c r="J27" s="53">
        <v>11</v>
      </c>
      <c r="K27" s="49">
        <v>12895</v>
      </c>
    </row>
    <row r="28" spans="1:11" s="46" customFormat="1" ht="15" customHeight="1">
      <c r="A28" s="47" t="s">
        <v>274</v>
      </c>
      <c r="B28" s="53">
        <v>124</v>
      </c>
      <c r="C28" s="53">
        <v>90843</v>
      </c>
      <c r="D28" s="53">
        <v>43</v>
      </c>
      <c r="E28" s="53">
        <v>15303</v>
      </c>
      <c r="F28" s="53">
        <v>68</v>
      </c>
      <c r="G28" s="53">
        <v>19169</v>
      </c>
      <c r="H28" s="53">
        <v>59</v>
      </c>
      <c r="I28" s="53">
        <v>23934</v>
      </c>
      <c r="J28" s="53">
        <v>66</v>
      </c>
      <c r="K28" s="49">
        <v>32437</v>
      </c>
    </row>
    <row r="29" spans="1:11" s="46" customFormat="1" ht="15" customHeight="1">
      <c r="A29" s="47" t="s">
        <v>275</v>
      </c>
      <c r="B29" s="53">
        <v>89</v>
      </c>
      <c r="C29" s="53">
        <v>165590</v>
      </c>
      <c r="D29" s="53">
        <v>36</v>
      </c>
      <c r="E29" s="53">
        <v>12653</v>
      </c>
      <c r="F29" s="53">
        <v>60</v>
      </c>
      <c r="G29" s="53">
        <v>28900</v>
      </c>
      <c r="H29" s="53">
        <v>65</v>
      </c>
      <c r="I29" s="53">
        <v>56797</v>
      </c>
      <c r="J29" s="53">
        <v>70</v>
      </c>
      <c r="K29" s="49">
        <v>67240</v>
      </c>
    </row>
    <row r="30" spans="1:11" s="46" customFormat="1" ht="7.5" customHeight="1">
      <c r="A30" s="47"/>
      <c r="B30" s="53"/>
      <c r="C30" s="53"/>
      <c r="D30" s="53"/>
      <c r="E30" s="53"/>
      <c r="F30" s="53"/>
      <c r="G30" s="53"/>
      <c r="H30" s="53"/>
      <c r="I30" s="53"/>
      <c r="J30" s="53"/>
      <c r="K30" s="49"/>
    </row>
    <row r="31" spans="1:11" s="46" customFormat="1" ht="15" customHeight="1">
      <c r="A31" s="47" t="s">
        <v>276</v>
      </c>
      <c r="B31" s="53">
        <v>21</v>
      </c>
      <c r="C31" s="53">
        <v>8920</v>
      </c>
      <c r="D31" s="53">
        <v>7</v>
      </c>
      <c r="E31" s="53">
        <v>810</v>
      </c>
      <c r="F31" s="53">
        <v>15</v>
      </c>
      <c r="G31" s="53">
        <v>2560</v>
      </c>
      <c r="H31" s="53">
        <v>9</v>
      </c>
      <c r="I31" s="53">
        <v>1495</v>
      </c>
      <c r="J31" s="53">
        <v>14</v>
      </c>
      <c r="K31" s="49">
        <v>4055</v>
      </c>
    </row>
    <row r="32" spans="1:11" s="46" customFormat="1" ht="15" customHeight="1">
      <c r="A32" s="47" t="s">
        <v>277</v>
      </c>
      <c r="B32" s="53">
        <v>8</v>
      </c>
      <c r="C32" s="53">
        <v>2890</v>
      </c>
      <c r="D32" s="53">
        <v>2</v>
      </c>
      <c r="E32" s="53" t="s">
        <v>313</v>
      </c>
      <c r="F32" s="53">
        <v>6</v>
      </c>
      <c r="G32" s="53">
        <v>1285</v>
      </c>
      <c r="H32" s="53">
        <v>3</v>
      </c>
      <c r="I32" s="53" t="s">
        <v>313</v>
      </c>
      <c r="J32" s="53">
        <v>6</v>
      </c>
      <c r="K32" s="49">
        <v>1135</v>
      </c>
    </row>
    <row r="33" spans="1:11" s="46" customFormat="1" ht="15" customHeight="1">
      <c r="A33" s="47" t="s">
        <v>278</v>
      </c>
      <c r="B33" s="53">
        <v>65</v>
      </c>
      <c r="C33" s="53">
        <v>24806</v>
      </c>
      <c r="D33" s="53">
        <v>11</v>
      </c>
      <c r="E33" s="53">
        <v>1546</v>
      </c>
      <c r="F33" s="53">
        <v>33</v>
      </c>
      <c r="G33" s="53">
        <v>8213</v>
      </c>
      <c r="H33" s="53">
        <v>34</v>
      </c>
      <c r="I33" s="53">
        <v>7674</v>
      </c>
      <c r="J33" s="53">
        <v>37</v>
      </c>
      <c r="K33" s="49">
        <v>7373</v>
      </c>
    </row>
    <row r="34" spans="1:11" s="46" customFormat="1" ht="15" customHeight="1">
      <c r="A34" s="47" t="s">
        <v>279</v>
      </c>
      <c r="B34" s="53">
        <v>220</v>
      </c>
      <c r="C34" s="53">
        <v>238402</v>
      </c>
      <c r="D34" s="53">
        <v>48</v>
      </c>
      <c r="E34" s="53">
        <v>10175</v>
      </c>
      <c r="F34" s="53">
        <v>139</v>
      </c>
      <c r="G34" s="53">
        <v>63656</v>
      </c>
      <c r="H34" s="53">
        <v>160</v>
      </c>
      <c r="I34" s="53">
        <v>77834</v>
      </c>
      <c r="J34" s="53">
        <v>162</v>
      </c>
      <c r="K34" s="49">
        <v>86737</v>
      </c>
    </row>
    <row r="35" spans="1:11" s="46" customFormat="1" ht="15" customHeight="1">
      <c r="A35" s="47" t="s">
        <v>280</v>
      </c>
      <c r="B35" s="53">
        <v>92</v>
      </c>
      <c r="C35" s="53">
        <v>60630</v>
      </c>
      <c r="D35" s="53">
        <v>29</v>
      </c>
      <c r="E35" s="53">
        <v>2078</v>
      </c>
      <c r="F35" s="53">
        <v>55</v>
      </c>
      <c r="G35" s="53">
        <v>19547</v>
      </c>
      <c r="H35" s="53">
        <v>56</v>
      </c>
      <c r="I35" s="53">
        <v>12397</v>
      </c>
      <c r="J35" s="53">
        <v>58</v>
      </c>
      <c r="K35" s="49">
        <v>26608</v>
      </c>
    </row>
    <row r="36" spans="1:11" s="46" customFormat="1" ht="15" customHeight="1">
      <c r="A36" s="47" t="s">
        <v>281</v>
      </c>
      <c r="B36" s="53">
        <v>108</v>
      </c>
      <c r="C36" s="53">
        <v>121650</v>
      </c>
      <c r="D36" s="53">
        <v>34</v>
      </c>
      <c r="E36" s="53">
        <v>4723</v>
      </c>
      <c r="F36" s="53">
        <v>71</v>
      </c>
      <c r="G36" s="53">
        <v>21780</v>
      </c>
      <c r="H36" s="53">
        <v>88</v>
      </c>
      <c r="I36" s="53">
        <v>41898</v>
      </c>
      <c r="J36" s="53">
        <v>88</v>
      </c>
      <c r="K36" s="49">
        <v>53249</v>
      </c>
    </row>
    <row r="37" spans="1:11" s="46" customFormat="1" ht="15" customHeight="1">
      <c r="A37" s="47" t="s">
        <v>282</v>
      </c>
      <c r="B37" s="53">
        <v>26</v>
      </c>
      <c r="C37" s="53">
        <v>8496</v>
      </c>
      <c r="D37" s="53">
        <v>11</v>
      </c>
      <c r="E37" s="53">
        <v>1124</v>
      </c>
      <c r="F37" s="53">
        <v>18</v>
      </c>
      <c r="G37" s="53">
        <v>4511</v>
      </c>
      <c r="H37" s="53">
        <v>8</v>
      </c>
      <c r="I37" s="53">
        <v>1320</v>
      </c>
      <c r="J37" s="53">
        <v>9</v>
      </c>
      <c r="K37" s="49">
        <v>1541</v>
      </c>
    </row>
    <row r="38" spans="1:11" s="46" customFormat="1" ht="7.5" customHeight="1">
      <c r="A38" s="47"/>
      <c r="B38" s="53"/>
      <c r="C38" s="53"/>
      <c r="D38" s="53"/>
      <c r="E38" s="53"/>
      <c r="F38" s="53"/>
      <c r="G38" s="53"/>
      <c r="H38" s="53"/>
      <c r="I38" s="53"/>
      <c r="J38" s="53"/>
      <c r="K38" s="49"/>
    </row>
    <row r="39" spans="1:11" s="46" customFormat="1" ht="15" customHeight="1">
      <c r="A39" s="47" t="s">
        <v>283</v>
      </c>
      <c r="B39" s="53">
        <v>155</v>
      </c>
      <c r="C39" s="53">
        <v>204906</v>
      </c>
      <c r="D39" s="53">
        <v>60</v>
      </c>
      <c r="E39" s="53">
        <v>26164</v>
      </c>
      <c r="F39" s="53">
        <v>101</v>
      </c>
      <c r="G39" s="53">
        <v>49875</v>
      </c>
      <c r="H39" s="53">
        <v>118</v>
      </c>
      <c r="I39" s="53">
        <v>39808</v>
      </c>
      <c r="J39" s="53">
        <v>97</v>
      </c>
      <c r="K39" s="49">
        <v>89059</v>
      </c>
    </row>
    <row r="40" spans="1:11" s="46" customFormat="1" ht="15" customHeight="1">
      <c r="A40" s="47" t="s">
        <v>284</v>
      </c>
      <c r="B40" s="53">
        <v>266</v>
      </c>
      <c r="C40" s="53">
        <v>142080</v>
      </c>
      <c r="D40" s="53">
        <v>44</v>
      </c>
      <c r="E40" s="53">
        <v>8099</v>
      </c>
      <c r="F40" s="53">
        <v>192</v>
      </c>
      <c r="G40" s="53">
        <v>47426</v>
      </c>
      <c r="H40" s="53">
        <v>172</v>
      </c>
      <c r="I40" s="53">
        <v>39969</v>
      </c>
      <c r="J40" s="53">
        <v>137</v>
      </c>
      <c r="K40" s="49">
        <v>46586</v>
      </c>
    </row>
    <row r="41" spans="1:11" s="46" customFormat="1" ht="15" customHeight="1">
      <c r="A41" s="47" t="s">
        <v>285</v>
      </c>
      <c r="B41" s="53">
        <v>92</v>
      </c>
      <c r="C41" s="53">
        <v>40750</v>
      </c>
      <c r="D41" s="53">
        <v>15</v>
      </c>
      <c r="E41" s="53">
        <v>1370</v>
      </c>
      <c r="F41" s="53">
        <v>49</v>
      </c>
      <c r="G41" s="53">
        <v>14407</v>
      </c>
      <c r="H41" s="53">
        <v>52</v>
      </c>
      <c r="I41" s="53">
        <v>11259</v>
      </c>
      <c r="J41" s="53">
        <v>47</v>
      </c>
      <c r="K41" s="49">
        <v>13714</v>
      </c>
    </row>
    <row r="42" spans="1:11" s="46" customFormat="1" ht="15" customHeight="1">
      <c r="A42" s="47" t="s">
        <v>286</v>
      </c>
      <c r="B42" s="53">
        <v>170</v>
      </c>
      <c r="C42" s="53">
        <v>191348</v>
      </c>
      <c r="D42" s="53">
        <v>49</v>
      </c>
      <c r="E42" s="53">
        <v>11040</v>
      </c>
      <c r="F42" s="53">
        <v>104</v>
      </c>
      <c r="G42" s="53">
        <v>44666</v>
      </c>
      <c r="H42" s="53">
        <v>125</v>
      </c>
      <c r="I42" s="53">
        <v>68624</v>
      </c>
      <c r="J42" s="53">
        <v>111</v>
      </c>
      <c r="K42" s="49">
        <v>67018</v>
      </c>
    </row>
    <row r="43" spans="1:11" s="46" customFormat="1" ht="15" customHeight="1">
      <c r="A43" s="47" t="s">
        <v>287</v>
      </c>
      <c r="B43" s="53">
        <v>29</v>
      </c>
      <c r="C43" s="53">
        <v>16552</v>
      </c>
      <c r="D43" s="53">
        <v>8</v>
      </c>
      <c r="E43" s="53">
        <v>2240</v>
      </c>
      <c r="F43" s="53">
        <v>16</v>
      </c>
      <c r="G43" s="53">
        <v>3931</v>
      </c>
      <c r="H43" s="53">
        <v>18</v>
      </c>
      <c r="I43" s="53">
        <v>4750</v>
      </c>
      <c r="J43" s="53">
        <v>19</v>
      </c>
      <c r="K43" s="49">
        <v>5631</v>
      </c>
    </row>
    <row r="44" spans="1:11" s="46" customFormat="1" ht="15" customHeight="1">
      <c r="A44" s="47" t="s">
        <v>288</v>
      </c>
      <c r="B44" s="53">
        <v>48</v>
      </c>
      <c r="C44" s="53">
        <v>32536</v>
      </c>
      <c r="D44" s="53">
        <v>18</v>
      </c>
      <c r="E44" s="53">
        <v>3020</v>
      </c>
      <c r="F44" s="53">
        <v>30</v>
      </c>
      <c r="G44" s="53">
        <v>6980</v>
      </c>
      <c r="H44" s="53">
        <v>32</v>
      </c>
      <c r="I44" s="53">
        <v>9217</v>
      </c>
      <c r="J44" s="53">
        <v>25</v>
      </c>
      <c r="K44" s="49">
        <v>13319</v>
      </c>
    </row>
    <row r="45" spans="1:11" s="46" customFormat="1" ht="15" customHeight="1">
      <c r="A45" s="47" t="s">
        <v>289</v>
      </c>
      <c r="B45" s="53">
        <v>50</v>
      </c>
      <c r="C45" s="53">
        <v>28573</v>
      </c>
      <c r="D45" s="53">
        <v>14</v>
      </c>
      <c r="E45" s="53">
        <v>4171</v>
      </c>
      <c r="F45" s="53">
        <v>33</v>
      </c>
      <c r="G45" s="53">
        <v>6741</v>
      </c>
      <c r="H45" s="53">
        <v>30</v>
      </c>
      <c r="I45" s="53">
        <v>6779</v>
      </c>
      <c r="J45" s="53">
        <v>28</v>
      </c>
      <c r="K45" s="49">
        <v>10882</v>
      </c>
    </row>
    <row r="46" spans="1:11" s="46" customFormat="1" ht="7.5" customHeight="1">
      <c r="A46" s="47"/>
      <c r="B46" s="53"/>
      <c r="C46" s="53"/>
      <c r="D46" s="53"/>
      <c r="E46" s="53"/>
      <c r="F46" s="53"/>
      <c r="G46" s="53"/>
      <c r="H46" s="53"/>
      <c r="I46" s="53"/>
      <c r="J46" s="53"/>
      <c r="K46" s="49"/>
    </row>
    <row r="47" spans="1:11" s="46" customFormat="1" ht="15" customHeight="1">
      <c r="A47" s="47" t="s">
        <v>290</v>
      </c>
      <c r="B47" s="53">
        <v>27</v>
      </c>
      <c r="C47" s="53">
        <v>65805</v>
      </c>
      <c r="D47" s="53">
        <v>12</v>
      </c>
      <c r="E47" s="53">
        <v>906</v>
      </c>
      <c r="F47" s="53">
        <v>22</v>
      </c>
      <c r="G47" s="53">
        <v>17565</v>
      </c>
      <c r="H47" s="53">
        <v>18</v>
      </c>
      <c r="I47" s="53">
        <v>10193</v>
      </c>
      <c r="J47" s="53">
        <v>19</v>
      </c>
      <c r="K47" s="49">
        <v>37141</v>
      </c>
    </row>
    <row r="48" spans="1:11" s="46" customFormat="1" ht="15" customHeight="1">
      <c r="A48" s="47" t="s">
        <v>291</v>
      </c>
      <c r="B48" s="53">
        <v>14</v>
      </c>
      <c r="C48" s="53">
        <v>23326</v>
      </c>
      <c r="D48" s="53">
        <v>5</v>
      </c>
      <c r="E48" s="53">
        <v>4650</v>
      </c>
      <c r="F48" s="53">
        <v>8</v>
      </c>
      <c r="G48" s="53">
        <v>8864</v>
      </c>
      <c r="H48" s="53">
        <v>7</v>
      </c>
      <c r="I48" s="53">
        <v>4951</v>
      </c>
      <c r="J48" s="53">
        <v>4</v>
      </c>
      <c r="K48" s="49">
        <v>4861</v>
      </c>
    </row>
    <row r="49" spans="1:11" s="46" customFormat="1" ht="15" customHeight="1">
      <c r="A49" s="47" t="s">
        <v>292</v>
      </c>
      <c r="B49" s="53">
        <v>83</v>
      </c>
      <c r="C49" s="53">
        <v>53129</v>
      </c>
      <c r="D49" s="53">
        <v>23</v>
      </c>
      <c r="E49" s="53">
        <v>2790</v>
      </c>
      <c r="F49" s="53">
        <v>63</v>
      </c>
      <c r="G49" s="53">
        <v>23724</v>
      </c>
      <c r="H49" s="53">
        <v>55</v>
      </c>
      <c r="I49" s="53">
        <v>16987</v>
      </c>
      <c r="J49" s="53">
        <v>51</v>
      </c>
      <c r="K49" s="49">
        <v>9628</v>
      </c>
    </row>
    <row r="50" spans="1:11" s="46" customFormat="1" ht="15" customHeight="1">
      <c r="A50" s="47" t="s">
        <v>293</v>
      </c>
      <c r="B50" s="53">
        <v>68</v>
      </c>
      <c r="C50" s="53">
        <v>133452</v>
      </c>
      <c r="D50" s="53">
        <v>24</v>
      </c>
      <c r="E50" s="53">
        <v>4088</v>
      </c>
      <c r="F50" s="53">
        <v>43</v>
      </c>
      <c r="G50" s="53">
        <v>19453</v>
      </c>
      <c r="H50" s="53">
        <v>49</v>
      </c>
      <c r="I50" s="53">
        <v>51946</v>
      </c>
      <c r="J50" s="53">
        <v>49</v>
      </c>
      <c r="K50" s="49">
        <v>57965</v>
      </c>
    </row>
    <row r="51" spans="1:11" s="46" customFormat="1" ht="15" customHeight="1">
      <c r="A51" s="47" t="s">
        <v>294</v>
      </c>
      <c r="B51" s="53">
        <v>62</v>
      </c>
      <c r="C51" s="53">
        <v>207967</v>
      </c>
      <c r="D51" s="53">
        <v>19</v>
      </c>
      <c r="E51" s="53">
        <v>28013</v>
      </c>
      <c r="F51" s="53">
        <v>41</v>
      </c>
      <c r="G51" s="53">
        <v>106432</v>
      </c>
      <c r="H51" s="53">
        <v>28</v>
      </c>
      <c r="I51" s="53">
        <v>30441</v>
      </c>
      <c r="J51" s="53">
        <v>29</v>
      </c>
      <c r="K51" s="49">
        <v>43081</v>
      </c>
    </row>
    <row r="52" spans="1:11" s="46" customFormat="1" ht="7.5" customHeight="1">
      <c r="A52" s="47"/>
      <c r="B52" s="53"/>
      <c r="C52" s="53"/>
      <c r="D52" s="53"/>
      <c r="E52" s="53"/>
      <c r="F52" s="53"/>
      <c r="G52" s="53"/>
      <c r="H52" s="53"/>
      <c r="I52" s="53"/>
      <c r="J52" s="53"/>
      <c r="K52" s="49"/>
    </row>
    <row r="53" spans="1:11" s="46" customFormat="1" ht="15" customHeight="1">
      <c r="A53" s="47" t="s">
        <v>295</v>
      </c>
      <c r="B53" s="53">
        <v>40</v>
      </c>
      <c r="C53" s="53">
        <v>51404</v>
      </c>
      <c r="D53" s="53">
        <v>9</v>
      </c>
      <c r="E53" s="53">
        <v>1642</v>
      </c>
      <c r="F53" s="53">
        <v>27</v>
      </c>
      <c r="G53" s="53">
        <v>11475</v>
      </c>
      <c r="H53" s="53">
        <v>35</v>
      </c>
      <c r="I53" s="53">
        <v>23164</v>
      </c>
      <c r="J53" s="53">
        <v>29</v>
      </c>
      <c r="K53" s="49">
        <v>15123</v>
      </c>
    </row>
    <row r="54" spans="1:11" s="46" customFormat="1" ht="15" customHeight="1">
      <c r="A54" s="47" t="s">
        <v>296</v>
      </c>
      <c r="B54" s="53">
        <v>2</v>
      </c>
      <c r="C54" s="53" t="s">
        <v>313</v>
      </c>
      <c r="D54" s="54" t="s">
        <v>4</v>
      </c>
      <c r="E54" s="54" t="s">
        <v>4</v>
      </c>
      <c r="F54" s="53">
        <v>1</v>
      </c>
      <c r="G54" s="53" t="s">
        <v>313</v>
      </c>
      <c r="H54" s="54" t="s">
        <v>4</v>
      </c>
      <c r="I54" s="54" t="s">
        <v>4</v>
      </c>
      <c r="J54" s="53">
        <v>1</v>
      </c>
      <c r="K54" s="49" t="s">
        <v>313</v>
      </c>
    </row>
    <row r="55" spans="1:11" s="46" customFormat="1" ht="15" customHeight="1">
      <c r="A55" s="47" t="s">
        <v>297</v>
      </c>
      <c r="B55" s="53">
        <v>20</v>
      </c>
      <c r="C55" s="53">
        <v>14446</v>
      </c>
      <c r="D55" s="53">
        <v>2</v>
      </c>
      <c r="E55" s="53" t="s">
        <v>313</v>
      </c>
      <c r="F55" s="53">
        <v>14</v>
      </c>
      <c r="G55" s="53">
        <v>7095</v>
      </c>
      <c r="H55" s="53">
        <v>13</v>
      </c>
      <c r="I55" s="53">
        <v>5330</v>
      </c>
      <c r="J55" s="53">
        <v>8</v>
      </c>
      <c r="K55" s="49" t="s">
        <v>313</v>
      </c>
    </row>
    <row r="56" spans="1:11" s="46" customFormat="1" ht="15" customHeight="1">
      <c r="A56" s="47" t="s">
        <v>298</v>
      </c>
      <c r="B56" s="53">
        <v>14</v>
      </c>
      <c r="C56" s="53">
        <v>44729</v>
      </c>
      <c r="D56" s="53">
        <v>1</v>
      </c>
      <c r="E56" s="53" t="s">
        <v>313</v>
      </c>
      <c r="F56" s="53">
        <v>10</v>
      </c>
      <c r="G56" s="53" t="s">
        <v>313</v>
      </c>
      <c r="H56" s="53">
        <v>12</v>
      </c>
      <c r="I56" s="53">
        <v>15032</v>
      </c>
      <c r="J56" s="53">
        <v>8</v>
      </c>
      <c r="K56" s="49">
        <v>22810</v>
      </c>
    </row>
    <row r="57" spans="1:11" s="46" customFormat="1" ht="15" customHeight="1">
      <c r="A57" s="47" t="s">
        <v>299</v>
      </c>
      <c r="B57" s="53">
        <v>27</v>
      </c>
      <c r="C57" s="53">
        <v>15149</v>
      </c>
      <c r="D57" s="53">
        <v>6</v>
      </c>
      <c r="E57" s="53">
        <v>889</v>
      </c>
      <c r="F57" s="53">
        <v>17</v>
      </c>
      <c r="G57" s="53">
        <v>4269</v>
      </c>
      <c r="H57" s="53">
        <v>17</v>
      </c>
      <c r="I57" s="53">
        <v>4375</v>
      </c>
      <c r="J57" s="53">
        <v>14</v>
      </c>
      <c r="K57" s="49">
        <v>5616</v>
      </c>
    </row>
    <row r="58" spans="1:11" s="46" customFormat="1" ht="15" customHeight="1">
      <c r="A58" s="47" t="s">
        <v>300</v>
      </c>
      <c r="B58" s="53">
        <v>3</v>
      </c>
      <c r="C58" s="53" t="s">
        <v>313</v>
      </c>
      <c r="D58" s="53">
        <v>1</v>
      </c>
      <c r="E58" s="53" t="s">
        <v>313</v>
      </c>
      <c r="F58" s="53">
        <v>1</v>
      </c>
      <c r="G58" s="53" t="s">
        <v>313</v>
      </c>
      <c r="H58" s="53">
        <v>2</v>
      </c>
      <c r="I58" s="53" t="s">
        <v>313</v>
      </c>
      <c r="J58" s="53">
        <v>1</v>
      </c>
      <c r="K58" s="49" t="s">
        <v>313</v>
      </c>
    </row>
    <row r="59" spans="1:11" s="46" customFormat="1" ht="15" customHeight="1">
      <c r="A59" s="47" t="s">
        <v>301</v>
      </c>
      <c r="B59" s="48">
        <v>458</v>
      </c>
      <c r="C59" s="48">
        <v>161028</v>
      </c>
      <c r="D59" s="48">
        <v>91</v>
      </c>
      <c r="E59" s="48">
        <v>8444</v>
      </c>
      <c r="F59" s="48">
        <v>209</v>
      </c>
      <c r="G59" s="48">
        <v>34250</v>
      </c>
      <c r="H59" s="48">
        <v>268</v>
      </c>
      <c r="I59" s="48">
        <v>44083</v>
      </c>
      <c r="J59" s="48">
        <v>260</v>
      </c>
      <c r="K59" s="49">
        <v>74251</v>
      </c>
    </row>
    <row r="60" spans="1:11" s="46" customFormat="1" ht="15" customHeight="1">
      <c r="A60" s="47" t="s">
        <v>302</v>
      </c>
      <c r="B60" s="48">
        <v>189</v>
      </c>
      <c r="C60" s="48">
        <v>215317</v>
      </c>
      <c r="D60" s="48">
        <v>64</v>
      </c>
      <c r="E60" s="48">
        <v>7003</v>
      </c>
      <c r="F60" s="48">
        <v>127</v>
      </c>
      <c r="G60" s="48">
        <v>68525</v>
      </c>
      <c r="H60" s="48">
        <v>151</v>
      </c>
      <c r="I60" s="48">
        <v>71985</v>
      </c>
      <c r="J60" s="48">
        <v>158</v>
      </c>
      <c r="K60" s="49">
        <v>67804</v>
      </c>
    </row>
    <row r="61" spans="1:11" s="46" customFormat="1" ht="15" customHeight="1">
      <c r="A61" s="47" t="s">
        <v>303</v>
      </c>
      <c r="B61" s="48">
        <v>102</v>
      </c>
      <c r="C61" s="48">
        <v>146514</v>
      </c>
      <c r="D61" s="48">
        <v>37</v>
      </c>
      <c r="E61" s="48">
        <v>8631</v>
      </c>
      <c r="F61" s="48">
        <v>64</v>
      </c>
      <c r="G61" s="48">
        <v>55153</v>
      </c>
      <c r="H61" s="48">
        <v>75</v>
      </c>
      <c r="I61" s="48">
        <v>42800</v>
      </c>
      <c r="J61" s="48">
        <v>53</v>
      </c>
      <c r="K61" s="49">
        <v>39930</v>
      </c>
    </row>
    <row r="62" spans="1:11" s="46" customFormat="1" ht="15" customHeight="1">
      <c r="A62" s="47" t="s">
        <v>304</v>
      </c>
      <c r="B62" s="48">
        <v>194</v>
      </c>
      <c r="C62" s="48">
        <v>175356</v>
      </c>
      <c r="D62" s="48">
        <v>36</v>
      </c>
      <c r="E62" s="48">
        <v>5621</v>
      </c>
      <c r="F62" s="48">
        <v>94</v>
      </c>
      <c r="G62" s="48">
        <v>26503</v>
      </c>
      <c r="H62" s="48">
        <v>147</v>
      </c>
      <c r="I62" s="48">
        <v>69667</v>
      </c>
      <c r="J62" s="48">
        <v>120</v>
      </c>
      <c r="K62" s="49">
        <v>73565</v>
      </c>
    </row>
    <row r="63" spans="1:11" s="46" customFormat="1" ht="15" customHeight="1">
      <c r="A63" s="47" t="s">
        <v>305</v>
      </c>
      <c r="B63" s="48">
        <v>66</v>
      </c>
      <c r="C63" s="48">
        <v>45227</v>
      </c>
      <c r="D63" s="48">
        <v>21</v>
      </c>
      <c r="E63" s="48">
        <v>3444</v>
      </c>
      <c r="F63" s="48">
        <v>39</v>
      </c>
      <c r="G63" s="48">
        <v>10610</v>
      </c>
      <c r="H63" s="48">
        <v>46</v>
      </c>
      <c r="I63" s="48">
        <v>15967</v>
      </c>
      <c r="J63" s="48">
        <v>45</v>
      </c>
      <c r="K63" s="49">
        <v>15206</v>
      </c>
    </row>
    <row r="64" spans="1:11" s="46" customFormat="1" ht="15" customHeight="1" thickBot="1">
      <c r="A64" s="55" t="s">
        <v>306</v>
      </c>
      <c r="B64" s="56">
        <v>134</v>
      </c>
      <c r="C64" s="56">
        <v>101906</v>
      </c>
      <c r="D64" s="56">
        <v>58</v>
      </c>
      <c r="E64" s="56">
        <v>5696</v>
      </c>
      <c r="F64" s="56">
        <v>98</v>
      </c>
      <c r="G64" s="56">
        <v>26165</v>
      </c>
      <c r="H64" s="56">
        <v>112</v>
      </c>
      <c r="I64" s="56">
        <v>38526</v>
      </c>
      <c r="J64" s="56">
        <v>94</v>
      </c>
      <c r="K64" s="57">
        <v>31519</v>
      </c>
    </row>
    <row r="65" s="43" customFormat="1" ht="15" customHeight="1">
      <c r="A65" s="302" t="s">
        <v>13</v>
      </c>
    </row>
  </sheetData>
  <mergeCells count="16">
    <mergeCell ref="J5:J7"/>
    <mergeCell ref="K5:K7"/>
    <mergeCell ref="F5:F7"/>
    <mergeCell ref="G5:G7"/>
    <mergeCell ref="H5:H7"/>
    <mergeCell ref="I5:I7"/>
    <mergeCell ref="H3:I4"/>
    <mergeCell ref="J3:K4"/>
    <mergeCell ref="A3:A7"/>
    <mergeCell ref="B3:C4"/>
    <mergeCell ref="D3:E4"/>
    <mergeCell ref="F3:G4"/>
    <mergeCell ref="B5:B7"/>
    <mergeCell ref="C5:C7"/>
    <mergeCell ref="D5:D7"/>
    <mergeCell ref="E5:E7"/>
  </mergeCells>
  <printOptions/>
  <pageMargins left="0.3937007874015748" right="0.2362204724409449" top="0.31496062992125984" bottom="0.31496062992125984" header="0.15748031496062992" footer="0.3937007874015748"/>
  <pageSetup horizontalDpi="600" verticalDpi="600" orientation="portrait" paperSize="9" scale="95" r:id="rId1"/>
  <headerFooter alignWithMargins="0">
    <oddHeader>&amp;R&amp;D&amp;T</oddHeader>
  </headerFooter>
</worksheet>
</file>

<file path=xl/worksheets/sheet6.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00390625" defaultRowHeight="13.5" customHeight="1"/>
  <cols>
    <col min="1" max="1" width="12.625" style="61" customWidth="1"/>
    <col min="2" max="9" width="10.625" style="61" customWidth="1"/>
    <col min="10" max="16384" width="9.00390625" style="61" customWidth="1"/>
  </cols>
  <sheetData>
    <row r="1" spans="1:5" ht="19.5" customHeight="1">
      <c r="A1" s="60" t="s">
        <v>314</v>
      </c>
      <c r="C1" s="62"/>
      <c r="D1" s="63"/>
      <c r="E1" s="63"/>
    </row>
    <row r="2" spans="1:9" ht="13.5" customHeight="1" thickBot="1">
      <c r="A2" s="63"/>
      <c r="B2" s="63"/>
      <c r="C2" s="63"/>
      <c r="D2" s="63"/>
      <c r="E2" s="63"/>
      <c r="F2" s="63"/>
      <c r="G2" s="63"/>
      <c r="H2" s="63"/>
      <c r="I2" s="64" t="s">
        <v>374</v>
      </c>
    </row>
    <row r="3" spans="1:9" s="65" customFormat="1" ht="12" customHeight="1" thickTop="1">
      <c r="A3" s="384" t="s">
        <v>315</v>
      </c>
      <c r="B3" s="424" t="s">
        <v>27</v>
      </c>
      <c r="C3" s="424"/>
      <c r="D3" s="424"/>
      <c r="E3" s="424" t="s">
        <v>28</v>
      </c>
      <c r="F3" s="424"/>
      <c r="G3" s="424"/>
      <c r="H3" s="428" t="s">
        <v>29</v>
      </c>
      <c r="I3" s="431" t="s">
        <v>30</v>
      </c>
    </row>
    <row r="4" spans="1:9" s="65" customFormat="1" ht="12" customHeight="1">
      <c r="A4" s="422"/>
      <c r="B4" s="425"/>
      <c r="C4" s="425"/>
      <c r="D4" s="425"/>
      <c r="E4" s="425"/>
      <c r="F4" s="425"/>
      <c r="G4" s="425"/>
      <c r="H4" s="429"/>
      <c r="I4" s="432"/>
    </row>
    <row r="5" spans="1:9" s="65" customFormat="1" ht="12" customHeight="1">
      <c r="A5" s="422"/>
      <c r="B5" s="426" t="s">
        <v>16</v>
      </c>
      <c r="C5" s="426" t="s">
        <v>31</v>
      </c>
      <c r="D5" s="426" t="s">
        <v>32</v>
      </c>
      <c r="E5" s="426" t="s">
        <v>16</v>
      </c>
      <c r="F5" s="426" t="s">
        <v>31</v>
      </c>
      <c r="G5" s="426" t="s">
        <v>32</v>
      </c>
      <c r="H5" s="429"/>
      <c r="I5" s="432"/>
    </row>
    <row r="6" spans="1:9" s="65" customFormat="1" ht="12" customHeight="1">
      <c r="A6" s="423"/>
      <c r="B6" s="427"/>
      <c r="C6" s="427"/>
      <c r="D6" s="427"/>
      <c r="E6" s="427"/>
      <c r="F6" s="427"/>
      <c r="G6" s="427"/>
      <c r="H6" s="430"/>
      <c r="I6" s="433"/>
    </row>
    <row r="7" spans="1:9" s="70" customFormat="1" ht="15" customHeight="1">
      <c r="A7" s="66" t="s">
        <v>67</v>
      </c>
      <c r="B7" s="67">
        <v>643324</v>
      </c>
      <c r="C7" s="67">
        <v>330166</v>
      </c>
      <c r="D7" s="67">
        <v>313158</v>
      </c>
      <c r="E7" s="68">
        <v>641303</v>
      </c>
      <c r="F7" s="67">
        <v>329444</v>
      </c>
      <c r="G7" s="67">
        <v>311859</v>
      </c>
      <c r="H7" s="67">
        <v>2021</v>
      </c>
      <c r="I7" s="69">
        <v>69</v>
      </c>
    </row>
    <row r="8" spans="1:9" ht="22.5" customHeight="1">
      <c r="A8" s="71" t="s">
        <v>316</v>
      </c>
      <c r="B8" s="72">
        <v>166504</v>
      </c>
      <c r="C8" s="72">
        <v>71456</v>
      </c>
      <c r="D8" s="72">
        <v>95048</v>
      </c>
      <c r="E8" s="73">
        <v>166256</v>
      </c>
      <c r="F8" s="72">
        <v>71289</v>
      </c>
      <c r="G8" s="72">
        <v>94967</v>
      </c>
      <c r="H8" s="72">
        <v>248</v>
      </c>
      <c r="I8" s="74">
        <v>63.57201218720648</v>
      </c>
    </row>
    <row r="9" spans="1:9" ht="15" customHeight="1">
      <c r="A9" s="71" t="s">
        <v>317</v>
      </c>
      <c r="B9" s="72">
        <v>138306</v>
      </c>
      <c r="C9" s="72">
        <v>102702</v>
      </c>
      <c r="D9" s="72">
        <v>35604</v>
      </c>
      <c r="E9" s="73">
        <v>137502</v>
      </c>
      <c r="F9" s="72">
        <v>102523</v>
      </c>
      <c r="G9" s="72">
        <v>34979</v>
      </c>
      <c r="H9" s="72">
        <v>804</v>
      </c>
      <c r="I9" s="74">
        <v>76.6824497399674</v>
      </c>
    </row>
    <row r="10" spans="1:9" ht="15" customHeight="1">
      <c r="A10" s="71" t="s">
        <v>318</v>
      </c>
      <c r="B10" s="72">
        <v>186880</v>
      </c>
      <c r="C10" s="72">
        <v>72506</v>
      </c>
      <c r="D10" s="72">
        <v>114374</v>
      </c>
      <c r="E10" s="73">
        <v>186012</v>
      </c>
      <c r="F10" s="72">
        <v>72186</v>
      </c>
      <c r="G10" s="72">
        <v>113826</v>
      </c>
      <c r="H10" s="72">
        <v>868</v>
      </c>
      <c r="I10" s="74">
        <v>74.88619606334551</v>
      </c>
    </row>
    <row r="11" spans="1:9" ht="15" customHeight="1">
      <c r="A11" s="71" t="s">
        <v>319</v>
      </c>
      <c r="B11" s="72">
        <v>151634</v>
      </c>
      <c r="C11" s="72">
        <v>83502</v>
      </c>
      <c r="D11" s="72">
        <v>68132</v>
      </c>
      <c r="E11" s="73">
        <v>151533</v>
      </c>
      <c r="F11" s="72">
        <v>83446</v>
      </c>
      <c r="G11" s="72">
        <v>68087</v>
      </c>
      <c r="H11" s="72">
        <v>101</v>
      </c>
      <c r="I11" s="74">
        <v>63.04659662136035</v>
      </c>
    </row>
    <row r="12" spans="1:9" ht="22.5" customHeight="1">
      <c r="A12" s="75" t="s">
        <v>33</v>
      </c>
      <c r="B12" s="76">
        <v>20802</v>
      </c>
      <c r="C12" s="76">
        <v>8040</v>
      </c>
      <c r="D12" s="76">
        <v>12762</v>
      </c>
      <c r="E12" s="77">
        <v>20721</v>
      </c>
      <c r="F12" s="76">
        <v>8040</v>
      </c>
      <c r="G12" s="76">
        <v>12681</v>
      </c>
      <c r="H12" s="76">
        <v>81</v>
      </c>
      <c r="I12" s="78">
        <v>54.5</v>
      </c>
    </row>
    <row r="13" spans="1:9" ht="15" customHeight="1">
      <c r="A13" s="75" t="s">
        <v>34</v>
      </c>
      <c r="B13" s="76">
        <v>41565</v>
      </c>
      <c r="C13" s="76">
        <v>9304</v>
      </c>
      <c r="D13" s="76">
        <v>32261</v>
      </c>
      <c r="E13" s="77">
        <v>41500</v>
      </c>
      <c r="F13" s="76">
        <v>9239</v>
      </c>
      <c r="G13" s="76">
        <v>32261</v>
      </c>
      <c r="H13" s="76">
        <v>65</v>
      </c>
      <c r="I13" s="78">
        <v>75.7</v>
      </c>
    </row>
    <row r="14" spans="1:9" ht="15" customHeight="1">
      <c r="A14" s="75" t="s">
        <v>35</v>
      </c>
      <c r="B14" s="76">
        <v>90912</v>
      </c>
      <c r="C14" s="76">
        <v>45899</v>
      </c>
      <c r="D14" s="76">
        <v>45013</v>
      </c>
      <c r="E14" s="77">
        <v>90910</v>
      </c>
      <c r="F14" s="76">
        <v>45897</v>
      </c>
      <c r="G14" s="76">
        <v>45013</v>
      </c>
      <c r="H14" s="76">
        <v>2</v>
      </c>
      <c r="I14" s="78">
        <v>69.3</v>
      </c>
    </row>
    <row r="15" spans="1:9" ht="15" customHeight="1">
      <c r="A15" s="75" t="s">
        <v>36</v>
      </c>
      <c r="B15" s="76">
        <v>35832</v>
      </c>
      <c r="C15" s="76">
        <v>22292</v>
      </c>
      <c r="D15" s="76">
        <v>13540</v>
      </c>
      <c r="E15" s="77">
        <v>35780</v>
      </c>
      <c r="F15" s="76">
        <v>22285</v>
      </c>
      <c r="G15" s="76">
        <v>13495</v>
      </c>
      <c r="H15" s="76">
        <v>52</v>
      </c>
      <c r="I15" s="78">
        <v>59.4</v>
      </c>
    </row>
    <row r="16" spans="1:9" ht="22.5" customHeight="1">
      <c r="A16" s="75" t="s">
        <v>37</v>
      </c>
      <c r="B16" s="76">
        <v>12372</v>
      </c>
      <c r="C16" s="76">
        <v>7848</v>
      </c>
      <c r="D16" s="76">
        <v>4524</v>
      </c>
      <c r="E16" s="77">
        <v>12173</v>
      </c>
      <c r="F16" s="76">
        <v>7810</v>
      </c>
      <c r="G16" s="76">
        <v>4363</v>
      </c>
      <c r="H16" s="76">
        <v>199</v>
      </c>
      <c r="I16" s="78">
        <v>55.5</v>
      </c>
    </row>
    <row r="17" spans="1:9" ht="15" customHeight="1">
      <c r="A17" s="75" t="s">
        <v>38</v>
      </c>
      <c r="B17" s="76">
        <v>6797</v>
      </c>
      <c r="C17" s="79">
        <v>2126</v>
      </c>
      <c r="D17" s="76">
        <v>4671</v>
      </c>
      <c r="E17" s="77">
        <v>6767</v>
      </c>
      <c r="F17" s="76">
        <v>2096</v>
      </c>
      <c r="G17" s="76">
        <v>4671</v>
      </c>
      <c r="H17" s="76">
        <v>30</v>
      </c>
      <c r="I17" s="78">
        <v>48.9</v>
      </c>
    </row>
    <row r="18" spans="1:9" ht="15" customHeight="1">
      <c r="A18" s="75" t="s">
        <v>39</v>
      </c>
      <c r="B18" s="79">
        <v>16699</v>
      </c>
      <c r="C18" s="79">
        <v>4940</v>
      </c>
      <c r="D18" s="76">
        <v>11759</v>
      </c>
      <c r="E18" s="77">
        <v>16699</v>
      </c>
      <c r="F18" s="76">
        <v>4940</v>
      </c>
      <c r="G18" s="76">
        <v>11759</v>
      </c>
      <c r="H18" s="76" t="s">
        <v>4</v>
      </c>
      <c r="I18" s="78">
        <v>69.3</v>
      </c>
    </row>
    <row r="19" spans="1:9" ht="15" customHeight="1">
      <c r="A19" s="75" t="s">
        <v>40</v>
      </c>
      <c r="B19" s="79">
        <v>10815</v>
      </c>
      <c r="C19" s="80">
        <v>4209</v>
      </c>
      <c r="D19" s="76">
        <v>6606</v>
      </c>
      <c r="E19" s="77">
        <v>10785</v>
      </c>
      <c r="F19" s="76">
        <v>4179</v>
      </c>
      <c r="G19" s="76">
        <v>6606</v>
      </c>
      <c r="H19" s="76">
        <v>30</v>
      </c>
      <c r="I19" s="78">
        <v>54.9</v>
      </c>
    </row>
    <row r="20" spans="1:9" ht="22.5" customHeight="1">
      <c r="A20" s="75" t="s">
        <v>41</v>
      </c>
      <c r="B20" s="76">
        <v>13658</v>
      </c>
      <c r="C20" s="76">
        <v>7927</v>
      </c>
      <c r="D20" s="76">
        <v>5731</v>
      </c>
      <c r="E20" s="77">
        <v>13651</v>
      </c>
      <c r="F20" s="76">
        <v>7920</v>
      </c>
      <c r="G20" s="76">
        <v>5731</v>
      </c>
      <c r="H20" s="76">
        <v>7</v>
      </c>
      <c r="I20" s="78">
        <v>63.6</v>
      </c>
    </row>
    <row r="21" spans="1:9" ht="15" customHeight="1">
      <c r="A21" s="75" t="s">
        <v>42</v>
      </c>
      <c r="B21" s="76">
        <v>3790</v>
      </c>
      <c r="C21" s="76">
        <v>206</v>
      </c>
      <c r="D21" s="76">
        <v>3584</v>
      </c>
      <c r="E21" s="77">
        <v>3790</v>
      </c>
      <c r="F21" s="76">
        <v>206</v>
      </c>
      <c r="G21" s="76">
        <v>3584</v>
      </c>
      <c r="H21" s="76" t="s">
        <v>4</v>
      </c>
      <c r="I21" s="78">
        <v>33.5</v>
      </c>
    </row>
    <row r="22" spans="1:9" ht="15" customHeight="1">
      <c r="A22" s="75" t="s">
        <v>43</v>
      </c>
      <c r="B22" s="76">
        <v>13173</v>
      </c>
      <c r="C22" s="76">
        <v>3077</v>
      </c>
      <c r="D22" s="76">
        <v>10096</v>
      </c>
      <c r="E22" s="77">
        <v>13173</v>
      </c>
      <c r="F22" s="76">
        <v>3077</v>
      </c>
      <c r="G22" s="76">
        <v>10096</v>
      </c>
      <c r="H22" s="76" t="s">
        <v>4</v>
      </c>
      <c r="I22" s="78">
        <v>63.6</v>
      </c>
    </row>
    <row r="23" spans="1:9" ht="15" customHeight="1">
      <c r="A23" s="75" t="s">
        <v>44</v>
      </c>
      <c r="B23" s="76">
        <v>25752</v>
      </c>
      <c r="C23" s="76">
        <v>15536</v>
      </c>
      <c r="D23" s="76">
        <v>10216</v>
      </c>
      <c r="E23" s="77">
        <v>25709</v>
      </c>
      <c r="F23" s="76">
        <v>15493</v>
      </c>
      <c r="G23" s="76">
        <v>10216</v>
      </c>
      <c r="H23" s="76">
        <v>43</v>
      </c>
      <c r="I23" s="78">
        <v>69.2</v>
      </c>
    </row>
    <row r="24" spans="1:9" ht="15" customHeight="1">
      <c r="A24" s="75" t="s">
        <v>45</v>
      </c>
      <c r="B24" s="76">
        <v>9563</v>
      </c>
      <c r="C24" s="79">
        <v>316</v>
      </c>
      <c r="D24" s="76">
        <v>9247</v>
      </c>
      <c r="E24" s="77">
        <v>9563</v>
      </c>
      <c r="F24" s="76">
        <v>316</v>
      </c>
      <c r="G24" s="76">
        <v>9247</v>
      </c>
      <c r="H24" s="76" t="s">
        <v>4</v>
      </c>
      <c r="I24" s="78">
        <v>59.5</v>
      </c>
    </row>
    <row r="25" spans="1:9" ht="22.5" customHeight="1">
      <c r="A25" s="75" t="s">
        <v>46</v>
      </c>
      <c r="B25" s="76">
        <v>3339</v>
      </c>
      <c r="C25" s="80">
        <v>281</v>
      </c>
      <c r="D25" s="76">
        <v>3058</v>
      </c>
      <c r="E25" s="77">
        <v>3306</v>
      </c>
      <c r="F25" s="76">
        <v>248</v>
      </c>
      <c r="G25" s="76">
        <v>3058</v>
      </c>
      <c r="H25" s="76">
        <v>33</v>
      </c>
      <c r="I25" s="78">
        <v>54.4</v>
      </c>
    </row>
    <row r="26" spans="1:9" ht="15" customHeight="1">
      <c r="A26" s="75" t="s">
        <v>47</v>
      </c>
      <c r="B26" s="76">
        <v>993</v>
      </c>
      <c r="C26" s="80" t="s">
        <v>4</v>
      </c>
      <c r="D26" s="76">
        <v>993</v>
      </c>
      <c r="E26" s="77">
        <v>993</v>
      </c>
      <c r="F26" s="76" t="s">
        <v>4</v>
      </c>
      <c r="G26" s="76">
        <v>993</v>
      </c>
      <c r="H26" s="76" t="s">
        <v>4</v>
      </c>
      <c r="I26" s="78">
        <v>31.8</v>
      </c>
    </row>
    <row r="27" spans="1:9" ht="15" customHeight="1">
      <c r="A27" s="75" t="s">
        <v>48</v>
      </c>
      <c r="B27" s="76">
        <v>1360</v>
      </c>
      <c r="C27" s="80" t="s">
        <v>4</v>
      </c>
      <c r="D27" s="76">
        <v>1360</v>
      </c>
      <c r="E27" s="77">
        <v>1360</v>
      </c>
      <c r="F27" s="76" t="s">
        <v>4</v>
      </c>
      <c r="G27" s="76">
        <v>1360</v>
      </c>
      <c r="H27" s="76" t="s">
        <v>4</v>
      </c>
      <c r="I27" s="78">
        <v>26</v>
      </c>
    </row>
    <row r="28" spans="1:9" ht="15" customHeight="1">
      <c r="A28" s="75" t="s">
        <v>49</v>
      </c>
      <c r="B28" s="76">
        <v>32344</v>
      </c>
      <c r="C28" s="79">
        <v>19142</v>
      </c>
      <c r="D28" s="76">
        <v>13202</v>
      </c>
      <c r="E28" s="77">
        <v>32318</v>
      </c>
      <c r="F28" s="76">
        <v>19116</v>
      </c>
      <c r="G28" s="76">
        <v>13202</v>
      </c>
      <c r="H28" s="76">
        <v>26</v>
      </c>
      <c r="I28" s="78">
        <v>82.3</v>
      </c>
    </row>
    <row r="29" spans="1:9" ht="15" customHeight="1">
      <c r="A29" s="75" t="s">
        <v>50</v>
      </c>
      <c r="B29" s="76">
        <v>14422</v>
      </c>
      <c r="C29" s="79">
        <v>8335</v>
      </c>
      <c r="D29" s="76">
        <v>6087</v>
      </c>
      <c r="E29" s="77">
        <v>14422</v>
      </c>
      <c r="F29" s="76">
        <v>8335</v>
      </c>
      <c r="G29" s="76">
        <v>6087</v>
      </c>
      <c r="H29" s="76" t="s">
        <v>4</v>
      </c>
      <c r="I29" s="78">
        <v>73.3</v>
      </c>
    </row>
    <row r="30" spans="1:9" ht="15" customHeight="1">
      <c r="A30" s="75" t="s">
        <v>51</v>
      </c>
      <c r="B30" s="76">
        <v>12143</v>
      </c>
      <c r="C30" s="76">
        <v>4266</v>
      </c>
      <c r="D30" s="76">
        <v>7877</v>
      </c>
      <c r="E30" s="77">
        <v>12139</v>
      </c>
      <c r="F30" s="76">
        <v>4262</v>
      </c>
      <c r="G30" s="76">
        <v>7877</v>
      </c>
      <c r="H30" s="76">
        <v>4</v>
      </c>
      <c r="I30" s="78">
        <v>78.9</v>
      </c>
    </row>
    <row r="31" spans="1:9" ht="15" customHeight="1">
      <c r="A31" s="75" t="s">
        <v>52</v>
      </c>
      <c r="B31" s="76">
        <v>4075</v>
      </c>
      <c r="C31" s="76">
        <v>1298</v>
      </c>
      <c r="D31" s="76">
        <v>2777</v>
      </c>
      <c r="E31" s="77">
        <v>4074</v>
      </c>
      <c r="F31" s="76">
        <v>1297</v>
      </c>
      <c r="G31" s="76">
        <v>2777</v>
      </c>
      <c r="H31" s="76">
        <v>1</v>
      </c>
      <c r="I31" s="78">
        <v>51.2</v>
      </c>
    </row>
    <row r="32" spans="1:9" ht="22.5" customHeight="1">
      <c r="A32" s="75" t="s">
        <v>53</v>
      </c>
      <c r="B32" s="76">
        <v>12617</v>
      </c>
      <c r="C32" s="76">
        <v>6810</v>
      </c>
      <c r="D32" s="76">
        <v>5807</v>
      </c>
      <c r="E32" s="77">
        <v>12504</v>
      </c>
      <c r="F32" s="76">
        <v>6805</v>
      </c>
      <c r="G32" s="80">
        <v>5699</v>
      </c>
      <c r="H32" s="76">
        <v>113</v>
      </c>
      <c r="I32" s="78">
        <v>78</v>
      </c>
    </row>
    <row r="33" spans="1:9" ht="15" customHeight="1">
      <c r="A33" s="75" t="s">
        <v>54</v>
      </c>
      <c r="B33" s="76">
        <v>26300</v>
      </c>
      <c r="C33" s="76">
        <v>20696</v>
      </c>
      <c r="D33" s="76">
        <v>5604</v>
      </c>
      <c r="E33" s="77">
        <v>26209</v>
      </c>
      <c r="F33" s="76">
        <v>20663</v>
      </c>
      <c r="G33" s="76">
        <v>5546</v>
      </c>
      <c r="H33" s="76">
        <v>91</v>
      </c>
      <c r="I33" s="78">
        <v>79.6</v>
      </c>
    </row>
    <row r="34" spans="1:9" ht="15" customHeight="1">
      <c r="A34" s="75" t="s">
        <v>55</v>
      </c>
      <c r="B34" s="76">
        <v>8334</v>
      </c>
      <c r="C34" s="76">
        <v>4827</v>
      </c>
      <c r="D34" s="76">
        <v>3507</v>
      </c>
      <c r="E34" s="77">
        <v>8231</v>
      </c>
      <c r="F34" s="76">
        <v>4801</v>
      </c>
      <c r="G34" s="76">
        <v>3430</v>
      </c>
      <c r="H34" s="76">
        <v>103</v>
      </c>
      <c r="I34" s="78">
        <v>70</v>
      </c>
    </row>
    <row r="35" spans="1:9" ht="15" customHeight="1">
      <c r="A35" s="75" t="s">
        <v>56</v>
      </c>
      <c r="B35" s="76">
        <v>32264</v>
      </c>
      <c r="C35" s="76">
        <v>25654</v>
      </c>
      <c r="D35" s="76">
        <v>6610</v>
      </c>
      <c r="E35" s="77">
        <v>32191</v>
      </c>
      <c r="F35" s="76">
        <v>25626</v>
      </c>
      <c r="G35" s="76">
        <v>6565</v>
      </c>
      <c r="H35" s="76">
        <v>73</v>
      </c>
      <c r="I35" s="78">
        <v>86.2</v>
      </c>
    </row>
    <row r="36" spans="1:9" ht="15" customHeight="1">
      <c r="A36" s="75" t="s">
        <v>57</v>
      </c>
      <c r="B36" s="76">
        <v>17491</v>
      </c>
      <c r="C36" s="80">
        <v>14706</v>
      </c>
      <c r="D36" s="76">
        <v>2785</v>
      </c>
      <c r="E36" s="77">
        <v>17410</v>
      </c>
      <c r="F36" s="76">
        <v>14678</v>
      </c>
      <c r="G36" s="76">
        <v>2732</v>
      </c>
      <c r="H36" s="76">
        <v>81</v>
      </c>
      <c r="I36" s="78">
        <v>82.7</v>
      </c>
    </row>
    <row r="37" spans="1:9" ht="15" customHeight="1">
      <c r="A37" s="75" t="s">
        <v>58</v>
      </c>
      <c r="B37" s="79">
        <v>7847</v>
      </c>
      <c r="C37" s="79">
        <v>4806</v>
      </c>
      <c r="D37" s="79">
        <v>3041</v>
      </c>
      <c r="E37" s="81">
        <v>7757</v>
      </c>
      <c r="F37" s="80">
        <v>4804</v>
      </c>
      <c r="G37" s="80">
        <v>2953</v>
      </c>
      <c r="H37" s="80">
        <v>90</v>
      </c>
      <c r="I37" s="78">
        <v>64.2</v>
      </c>
    </row>
    <row r="38" spans="1:9" ht="15" customHeight="1">
      <c r="A38" s="75" t="s">
        <v>59</v>
      </c>
      <c r="B38" s="76">
        <v>21081</v>
      </c>
      <c r="C38" s="79">
        <v>17355</v>
      </c>
      <c r="D38" s="76">
        <v>3726</v>
      </c>
      <c r="E38" s="77">
        <v>21027</v>
      </c>
      <c r="F38" s="76">
        <v>17336</v>
      </c>
      <c r="G38" s="76">
        <v>3691</v>
      </c>
      <c r="H38" s="76">
        <v>54</v>
      </c>
      <c r="I38" s="78">
        <v>80.7</v>
      </c>
    </row>
    <row r="39" spans="1:9" ht="22.5" customHeight="1">
      <c r="A39" s="75" t="s">
        <v>60</v>
      </c>
      <c r="B39" s="76">
        <v>10327</v>
      </c>
      <c r="C39" s="79">
        <v>1361</v>
      </c>
      <c r="D39" s="76">
        <v>8966</v>
      </c>
      <c r="E39" s="77">
        <v>10327</v>
      </c>
      <c r="F39" s="76">
        <v>1361</v>
      </c>
      <c r="G39" s="76">
        <v>8966</v>
      </c>
      <c r="H39" s="76" t="s">
        <v>4</v>
      </c>
      <c r="I39" s="78">
        <v>57.4</v>
      </c>
    </row>
    <row r="40" spans="1:9" ht="15" customHeight="1">
      <c r="A40" s="75" t="s">
        <v>61</v>
      </c>
      <c r="B40" s="76">
        <v>8015</v>
      </c>
      <c r="C40" s="79">
        <v>164</v>
      </c>
      <c r="D40" s="76">
        <v>7851</v>
      </c>
      <c r="E40" s="77">
        <v>7847</v>
      </c>
      <c r="F40" s="76">
        <v>164</v>
      </c>
      <c r="G40" s="76">
        <v>7683</v>
      </c>
      <c r="H40" s="76">
        <v>168</v>
      </c>
      <c r="I40" s="78">
        <v>48.1</v>
      </c>
    </row>
    <row r="41" spans="1:9" ht="15" customHeight="1">
      <c r="A41" s="75" t="s">
        <v>62</v>
      </c>
      <c r="B41" s="79">
        <v>65843</v>
      </c>
      <c r="C41" s="79">
        <v>46824</v>
      </c>
      <c r="D41" s="79">
        <v>19019</v>
      </c>
      <c r="E41" s="81">
        <v>65531</v>
      </c>
      <c r="F41" s="80">
        <v>46579</v>
      </c>
      <c r="G41" s="80">
        <v>18952</v>
      </c>
      <c r="H41" s="80">
        <v>312</v>
      </c>
      <c r="I41" s="78">
        <v>89.3</v>
      </c>
    </row>
    <row r="42" spans="1:9" ht="15" customHeight="1">
      <c r="A42" s="75" t="s">
        <v>63</v>
      </c>
      <c r="B42" s="76">
        <v>10438</v>
      </c>
      <c r="C42" s="76">
        <v>882</v>
      </c>
      <c r="D42" s="76">
        <v>9556</v>
      </c>
      <c r="E42" s="77">
        <v>10152</v>
      </c>
      <c r="F42" s="76">
        <v>882</v>
      </c>
      <c r="G42" s="76">
        <v>9270</v>
      </c>
      <c r="H42" s="76">
        <v>286</v>
      </c>
      <c r="I42" s="78">
        <v>66.2</v>
      </c>
    </row>
    <row r="43" spans="1:9" ht="15" customHeight="1">
      <c r="A43" s="75" t="s">
        <v>64</v>
      </c>
      <c r="B43" s="76">
        <v>27471</v>
      </c>
      <c r="C43" s="76">
        <v>5728</v>
      </c>
      <c r="D43" s="76">
        <v>21743</v>
      </c>
      <c r="E43" s="77">
        <v>27441</v>
      </c>
      <c r="F43" s="76">
        <v>5725</v>
      </c>
      <c r="G43" s="76">
        <v>21716</v>
      </c>
      <c r="H43" s="76">
        <v>30</v>
      </c>
      <c r="I43" s="78">
        <v>83.3</v>
      </c>
    </row>
    <row r="44" spans="1:9" ht="22.5" customHeight="1">
      <c r="A44" s="75" t="s">
        <v>65</v>
      </c>
      <c r="B44" s="76" t="s">
        <v>4</v>
      </c>
      <c r="C44" s="79" t="s">
        <v>4</v>
      </c>
      <c r="D44" s="76" t="s">
        <v>4</v>
      </c>
      <c r="E44" s="77" t="s">
        <v>4</v>
      </c>
      <c r="F44" s="76" t="s">
        <v>4</v>
      </c>
      <c r="G44" s="76" t="s">
        <v>4</v>
      </c>
      <c r="H44" s="76" t="s">
        <v>4</v>
      </c>
      <c r="I44" s="78" t="s">
        <v>4</v>
      </c>
    </row>
    <row r="45" spans="1:9" ht="15" customHeight="1">
      <c r="A45" s="75" t="s">
        <v>68</v>
      </c>
      <c r="B45" s="76">
        <v>14059</v>
      </c>
      <c r="C45" s="79">
        <v>9787</v>
      </c>
      <c r="D45" s="76">
        <v>4272</v>
      </c>
      <c r="E45" s="77">
        <v>14059</v>
      </c>
      <c r="F45" s="76">
        <v>9787</v>
      </c>
      <c r="G45" s="80">
        <v>4272</v>
      </c>
      <c r="H45" s="76" t="s">
        <v>4</v>
      </c>
      <c r="I45" s="78">
        <v>56.4</v>
      </c>
    </row>
    <row r="46" spans="1:9" ht="15" customHeight="1" thickBot="1">
      <c r="A46" s="82" t="s">
        <v>66</v>
      </c>
      <c r="B46" s="83">
        <v>10831</v>
      </c>
      <c r="C46" s="84">
        <v>5524</v>
      </c>
      <c r="D46" s="83">
        <v>5307</v>
      </c>
      <c r="E46" s="85">
        <v>10784</v>
      </c>
      <c r="F46" s="83">
        <v>5477</v>
      </c>
      <c r="G46" s="83">
        <v>5307</v>
      </c>
      <c r="H46" s="83">
        <v>47</v>
      </c>
      <c r="I46" s="86">
        <v>52</v>
      </c>
    </row>
    <row r="47" ht="15" customHeight="1">
      <c r="A47" s="65" t="s">
        <v>69</v>
      </c>
    </row>
    <row r="48" ht="12">
      <c r="A48" s="65"/>
    </row>
    <row r="49" ht="12" customHeight="1"/>
    <row r="50" ht="12" customHeight="1"/>
    <row r="51" ht="12" customHeight="1"/>
    <row r="52" ht="12" customHeight="1"/>
    <row r="53" ht="12" customHeight="1"/>
    <row r="54" ht="12" customHeight="1"/>
  </sheetData>
  <mergeCells count="11">
    <mergeCell ref="E3:G4"/>
    <mergeCell ref="H3:H6"/>
    <mergeCell ref="I3:I6"/>
    <mergeCell ref="E5:E6"/>
    <mergeCell ref="F5:F6"/>
    <mergeCell ref="G5:G6"/>
    <mergeCell ref="A3:A6"/>
    <mergeCell ref="B3:D4"/>
    <mergeCell ref="B5:B6"/>
    <mergeCell ref="C5:C6"/>
    <mergeCell ref="D5:D6"/>
  </mergeCells>
  <printOptions/>
  <pageMargins left="0.4" right="0.26" top="1" bottom="0.47" header="0.512" footer="0.512"/>
  <pageSetup horizontalDpi="600" verticalDpi="600" orientation="portrait" paperSize="9" r:id="rId1"/>
  <headerFooter alignWithMargins="0">
    <oddHeader>&amp;R&amp;D&amp;T</oddHeader>
  </headerFooter>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9.00390625" defaultRowHeight="13.5"/>
  <cols>
    <col min="1" max="1" width="10.625" style="299" customWidth="1"/>
    <col min="2" max="6" width="12.625" style="299" customWidth="1"/>
    <col min="7" max="16384" width="9.00390625" style="299" customWidth="1"/>
  </cols>
  <sheetData>
    <row r="1" ht="18.75" customHeight="1">
      <c r="A1" s="23" t="s">
        <v>320</v>
      </c>
    </row>
    <row r="2" ht="15" customHeight="1">
      <c r="A2" s="87" t="s">
        <v>75</v>
      </c>
    </row>
    <row r="3" spans="1:7" ht="15" customHeight="1" thickBot="1">
      <c r="A3" s="382" t="s">
        <v>76</v>
      </c>
      <c r="B3" s="89"/>
      <c r="C3" s="88"/>
      <c r="D3" s="88"/>
      <c r="E3" s="88"/>
      <c r="F3" s="90" t="s">
        <v>77</v>
      </c>
      <c r="G3" s="91"/>
    </row>
    <row r="4" spans="1:7" s="303" customFormat="1" ht="15" customHeight="1" thickTop="1">
      <c r="A4" s="445" t="s">
        <v>78</v>
      </c>
      <c r="B4" s="436" t="s">
        <v>70</v>
      </c>
      <c r="C4" s="441" t="s">
        <v>321</v>
      </c>
      <c r="D4" s="442"/>
      <c r="E4" s="442"/>
      <c r="F4" s="442"/>
      <c r="G4" s="92"/>
    </row>
    <row r="5" spans="1:7" s="303" customFormat="1" ht="15" customHeight="1">
      <c r="A5" s="446"/>
      <c r="B5" s="437"/>
      <c r="C5" s="448" t="s">
        <v>71</v>
      </c>
      <c r="D5" s="439" t="s">
        <v>322</v>
      </c>
      <c r="E5" s="448" t="s">
        <v>72</v>
      </c>
      <c r="F5" s="434" t="s">
        <v>73</v>
      </c>
      <c r="G5" s="92"/>
    </row>
    <row r="6" spans="1:7" s="303" customFormat="1" ht="14.25" customHeight="1">
      <c r="A6" s="447"/>
      <c r="B6" s="438"/>
      <c r="C6" s="449"/>
      <c r="D6" s="440"/>
      <c r="E6" s="449"/>
      <c r="F6" s="435"/>
      <c r="G6" s="93"/>
    </row>
    <row r="7" spans="1:7" ht="15" customHeight="1">
      <c r="A7" s="94" t="s">
        <v>79</v>
      </c>
      <c r="B7" s="95">
        <v>257</v>
      </c>
      <c r="C7" s="96">
        <v>178</v>
      </c>
      <c r="D7" s="96">
        <v>7</v>
      </c>
      <c r="E7" s="96">
        <v>164</v>
      </c>
      <c r="F7" s="95">
        <v>0</v>
      </c>
      <c r="G7" s="97"/>
    </row>
    <row r="8" spans="1:7" ht="15" customHeight="1">
      <c r="A8" s="98" t="s">
        <v>80</v>
      </c>
      <c r="B8" s="95">
        <v>228</v>
      </c>
      <c r="C8" s="96">
        <v>160</v>
      </c>
      <c r="D8" s="96">
        <v>6</v>
      </c>
      <c r="E8" s="96">
        <v>150</v>
      </c>
      <c r="F8" s="95">
        <v>0</v>
      </c>
      <c r="G8" s="97"/>
    </row>
    <row r="9" spans="1:7" ht="15" customHeight="1">
      <c r="A9" s="98" t="s">
        <v>81</v>
      </c>
      <c r="B9" s="95">
        <v>247</v>
      </c>
      <c r="C9" s="96">
        <v>173</v>
      </c>
      <c r="D9" s="96">
        <v>13</v>
      </c>
      <c r="E9" s="96">
        <v>156</v>
      </c>
      <c r="F9" s="95">
        <v>0</v>
      </c>
      <c r="G9" s="97"/>
    </row>
    <row r="10" spans="1:7" ht="15" customHeight="1">
      <c r="A10" s="98" t="s">
        <v>82</v>
      </c>
      <c r="B10" s="95">
        <v>249</v>
      </c>
      <c r="C10" s="96">
        <v>163</v>
      </c>
      <c r="D10" s="96">
        <v>11</v>
      </c>
      <c r="E10" s="96">
        <v>147</v>
      </c>
      <c r="F10" s="95">
        <v>0</v>
      </c>
      <c r="G10" s="97"/>
    </row>
    <row r="11" spans="1:7" ht="15" customHeight="1">
      <c r="A11" s="98" t="s">
        <v>83</v>
      </c>
      <c r="B11" s="95">
        <v>260</v>
      </c>
      <c r="C11" s="96">
        <v>190</v>
      </c>
      <c r="D11" s="96">
        <v>16</v>
      </c>
      <c r="E11" s="96">
        <v>170</v>
      </c>
      <c r="F11" s="95">
        <v>0</v>
      </c>
      <c r="G11" s="99"/>
    </row>
    <row r="12" spans="1:7" ht="15" customHeight="1" thickBot="1">
      <c r="A12" s="304" t="s">
        <v>84</v>
      </c>
      <c r="B12" s="305">
        <v>257</v>
      </c>
      <c r="C12" s="306">
        <v>192</v>
      </c>
      <c r="D12" s="306">
        <v>17</v>
      </c>
      <c r="E12" s="306">
        <v>170</v>
      </c>
      <c r="F12" s="307">
        <v>0</v>
      </c>
      <c r="G12" s="99"/>
    </row>
    <row r="13" spans="1:7" s="303" customFormat="1" ht="15" customHeight="1" thickTop="1">
      <c r="A13" s="445" t="s">
        <v>78</v>
      </c>
      <c r="B13" s="453" t="s">
        <v>321</v>
      </c>
      <c r="C13" s="454"/>
      <c r="D13" s="445"/>
      <c r="E13" s="441" t="s">
        <v>323</v>
      </c>
      <c r="F13" s="100"/>
      <c r="G13" s="100"/>
    </row>
    <row r="14" spans="1:7" s="303" customFormat="1" ht="15" customHeight="1">
      <c r="A14" s="446"/>
      <c r="B14" s="448" t="s">
        <v>324</v>
      </c>
      <c r="C14" s="450" t="s">
        <v>325</v>
      </c>
      <c r="D14" s="452" t="s">
        <v>326</v>
      </c>
      <c r="E14" s="443"/>
      <c r="F14" s="92"/>
      <c r="G14" s="92"/>
    </row>
    <row r="15" spans="1:7" s="303" customFormat="1" ht="15" customHeight="1">
      <c r="A15" s="447"/>
      <c r="B15" s="449"/>
      <c r="C15" s="451"/>
      <c r="D15" s="451"/>
      <c r="E15" s="444"/>
      <c r="F15" s="93"/>
      <c r="G15" s="93"/>
    </row>
    <row r="16" spans="1:7" ht="15" customHeight="1">
      <c r="A16" s="94" t="s">
        <v>79</v>
      </c>
      <c r="B16" s="96">
        <v>2</v>
      </c>
      <c r="C16" s="101" t="s">
        <v>74</v>
      </c>
      <c r="D16" s="96">
        <v>5</v>
      </c>
      <c r="E16" s="97">
        <v>79</v>
      </c>
      <c r="F16" s="97"/>
      <c r="G16" s="97"/>
    </row>
    <row r="17" spans="1:7" ht="15" customHeight="1">
      <c r="A17" s="98" t="s">
        <v>80</v>
      </c>
      <c r="B17" s="96">
        <v>1</v>
      </c>
      <c r="C17" s="101" t="s">
        <v>74</v>
      </c>
      <c r="D17" s="96">
        <v>3</v>
      </c>
      <c r="E17" s="97">
        <v>68</v>
      </c>
      <c r="F17" s="97"/>
      <c r="G17" s="97"/>
    </row>
    <row r="18" spans="1:7" ht="15" customHeight="1">
      <c r="A18" s="98" t="s">
        <v>81</v>
      </c>
      <c r="B18" s="96">
        <v>1</v>
      </c>
      <c r="C18" s="101" t="s">
        <v>74</v>
      </c>
      <c r="D18" s="96">
        <v>3</v>
      </c>
      <c r="E18" s="97">
        <v>74</v>
      </c>
      <c r="F18" s="97"/>
      <c r="G18" s="97"/>
    </row>
    <row r="19" spans="1:7" ht="15" customHeight="1">
      <c r="A19" s="98" t="s">
        <v>82</v>
      </c>
      <c r="B19" s="96">
        <v>3</v>
      </c>
      <c r="C19" s="101" t="s">
        <v>74</v>
      </c>
      <c r="D19" s="96">
        <v>2</v>
      </c>
      <c r="E19" s="97">
        <v>86</v>
      </c>
      <c r="F19" s="97"/>
      <c r="G19" s="97"/>
    </row>
    <row r="20" spans="1:7" ht="15" customHeight="1">
      <c r="A20" s="98" t="s">
        <v>83</v>
      </c>
      <c r="B20" s="96">
        <v>1</v>
      </c>
      <c r="C20" s="101" t="s">
        <v>74</v>
      </c>
      <c r="D20" s="96">
        <v>3</v>
      </c>
      <c r="E20" s="97">
        <v>70</v>
      </c>
      <c r="F20" s="99"/>
      <c r="G20" s="99"/>
    </row>
    <row r="21" spans="1:7" ht="15" customHeight="1" thickBot="1">
      <c r="A21" s="304" t="s">
        <v>84</v>
      </c>
      <c r="B21" s="308">
        <v>3</v>
      </c>
      <c r="C21" s="309" t="s">
        <v>74</v>
      </c>
      <c r="D21" s="308">
        <v>2</v>
      </c>
      <c r="E21" s="310">
        <v>65</v>
      </c>
      <c r="F21" s="99"/>
      <c r="G21" s="99"/>
    </row>
    <row r="22" ht="15" customHeight="1">
      <c r="A22" s="311"/>
    </row>
    <row r="23" spans="1:10" ht="15" customHeight="1" thickBot="1">
      <c r="A23" s="383" t="s">
        <v>85</v>
      </c>
      <c r="B23" s="102"/>
      <c r="C23" s="102"/>
      <c r="D23" s="103"/>
      <c r="E23" s="90" t="s">
        <v>77</v>
      </c>
      <c r="F23" s="104"/>
      <c r="G23" s="102"/>
      <c r="H23" s="91"/>
      <c r="I23" s="104"/>
      <c r="J23" s="312"/>
    </row>
    <row r="24" spans="1:10" ht="15" customHeight="1" thickTop="1">
      <c r="A24" s="445" t="s">
        <v>78</v>
      </c>
      <c r="B24" s="455" t="s">
        <v>70</v>
      </c>
      <c r="C24" s="455" t="s">
        <v>327</v>
      </c>
      <c r="D24" s="455" t="s">
        <v>328</v>
      </c>
      <c r="E24" s="441" t="s">
        <v>329</v>
      </c>
      <c r="F24" s="102"/>
      <c r="G24" s="102"/>
      <c r="H24" s="102"/>
      <c r="I24" s="102"/>
      <c r="J24" s="312"/>
    </row>
    <row r="25" spans="1:10" ht="15" customHeight="1">
      <c r="A25" s="446"/>
      <c r="B25" s="456"/>
      <c r="C25" s="456"/>
      <c r="D25" s="456"/>
      <c r="E25" s="443"/>
      <c r="F25" s="92"/>
      <c r="G25" s="92"/>
      <c r="H25" s="92"/>
      <c r="I25" s="92"/>
      <c r="J25" s="312"/>
    </row>
    <row r="26" spans="1:10" ht="15" customHeight="1">
      <c r="A26" s="447"/>
      <c r="B26" s="457"/>
      <c r="C26" s="457"/>
      <c r="D26" s="457"/>
      <c r="E26" s="444"/>
      <c r="F26" s="102"/>
      <c r="G26" s="102"/>
      <c r="H26" s="102"/>
      <c r="I26" s="102"/>
      <c r="J26" s="312"/>
    </row>
    <row r="27" spans="1:10" ht="15" customHeight="1">
      <c r="A27" s="94" t="s">
        <v>79</v>
      </c>
      <c r="B27" s="96">
        <v>257</v>
      </c>
      <c r="C27" s="96">
        <v>161</v>
      </c>
      <c r="D27" s="105">
        <v>0</v>
      </c>
      <c r="E27" s="95">
        <v>96</v>
      </c>
      <c r="F27" s="106"/>
      <c r="G27" s="97"/>
      <c r="H27" s="106"/>
      <c r="I27" s="97"/>
      <c r="J27" s="312"/>
    </row>
    <row r="28" spans="1:10" ht="15" customHeight="1">
      <c r="A28" s="98" t="s">
        <v>80</v>
      </c>
      <c r="B28" s="96">
        <v>228</v>
      </c>
      <c r="C28" s="96">
        <v>147</v>
      </c>
      <c r="D28" s="107">
        <v>0</v>
      </c>
      <c r="E28" s="95">
        <v>81</v>
      </c>
      <c r="F28" s="106"/>
      <c r="G28" s="108"/>
      <c r="H28" s="106"/>
      <c r="I28" s="97"/>
      <c r="J28" s="312"/>
    </row>
    <row r="29" spans="1:10" ht="15" customHeight="1">
      <c r="A29" s="98" t="s">
        <v>81</v>
      </c>
      <c r="B29" s="96">
        <v>247</v>
      </c>
      <c r="C29" s="96">
        <v>152</v>
      </c>
      <c r="D29" s="107">
        <v>7</v>
      </c>
      <c r="E29" s="95">
        <v>88</v>
      </c>
      <c r="F29" s="106"/>
      <c r="G29" s="108"/>
      <c r="H29" s="106"/>
      <c r="I29" s="97"/>
      <c r="J29" s="312"/>
    </row>
    <row r="30" spans="1:10" ht="15" customHeight="1">
      <c r="A30" s="98" t="s">
        <v>82</v>
      </c>
      <c r="B30" s="96">
        <v>249</v>
      </c>
      <c r="C30" s="96">
        <v>143</v>
      </c>
      <c r="D30" s="107">
        <v>4</v>
      </c>
      <c r="E30" s="95">
        <v>102</v>
      </c>
      <c r="F30" s="106"/>
      <c r="G30" s="108"/>
      <c r="H30" s="106"/>
      <c r="I30" s="97"/>
      <c r="J30" s="312"/>
    </row>
    <row r="31" spans="1:10" ht="15" customHeight="1">
      <c r="A31" s="98" t="s">
        <v>83</v>
      </c>
      <c r="B31" s="96">
        <v>260</v>
      </c>
      <c r="C31" s="96">
        <v>151</v>
      </c>
      <c r="D31" s="107">
        <v>14</v>
      </c>
      <c r="E31" s="95">
        <v>95</v>
      </c>
      <c r="F31" s="109"/>
      <c r="G31" s="110"/>
      <c r="H31" s="109"/>
      <c r="I31" s="99"/>
      <c r="J31" s="312"/>
    </row>
    <row r="32" spans="1:10" ht="15" customHeight="1" thickBot="1">
      <c r="A32" s="313" t="s">
        <v>84</v>
      </c>
      <c r="B32" s="308">
        <v>257</v>
      </c>
      <c r="C32" s="308">
        <v>148</v>
      </c>
      <c r="D32" s="314">
        <v>31</v>
      </c>
      <c r="E32" s="315">
        <v>78</v>
      </c>
      <c r="F32" s="109"/>
      <c r="G32" s="110"/>
      <c r="H32" s="109"/>
      <c r="I32" s="99"/>
      <c r="J32" s="312"/>
    </row>
    <row r="33" spans="1:10" ht="15" customHeight="1">
      <c r="A33" s="316" t="s">
        <v>86</v>
      </c>
      <c r="F33" s="312"/>
      <c r="G33" s="312"/>
      <c r="H33" s="312"/>
      <c r="I33" s="312"/>
      <c r="J33" s="312"/>
    </row>
    <row r="34" spans="6:10" ht="13.5">
      <c r="F34" s="312"/>
      <c r="G34" s="312"/>
      <c r="H34" s="312"/>
      <c r="I34" s="312"/>
      <c r="J34" s="312"/>
    </row>
  </sheetData>
  <mergeCells count="18">
    <mergeCell ref="A24:A26"/>
    <mergeCell ref="B24:B26"/>
    <mergeCell ref="C24:C26"/>
    <mergeCell ref="D24:D26"/>
    <mergeCell ref="E24:E26"/>
    <mergeCell ref="A4:A6"/>
    <mergeCell ref="C5:C6"/>
    <mergeCell ref="E5:E6"/>
    <mergeCell ref="A13:A15"/>
    <mergeCell ref="C14:C15"/>
    <mergeCell ref="B14:B15"/>
    <mergeCell ref="D14:D15"/>
    <mergeCell ref="E13:E15"/>
    <mergeCell ref="B13:D13"/>
    <mergeCell ref="F5:F6"/>
    <mergeCell ref="B4:B6"/>
    <mergeCell ref="D5:D6"/>
    <mergeCell ref="C4:F4"/>
  </mergeCells>
  <printOptions/>
  <pageMargins left="0.75" right="0.75" top="1" bottom="1" header="0.512" footer="0.512"/>
  <pageSetup horizontalDpi="600" verticalDpi="600" orientation="portrait" paperSize="9" r:id="rId1"/>
  <headerFooter alignWithMargins="0">
    <oddHeader>&amp;R&amp;D&amp;T</oddHeader>
  </headerFooter>
</worksheet>
</file>

<file path=xl/worksheets/sheet8.xml><?xml version="1.0" encoding="utf-8"?>
<worksheet xmlns="http://schemas.openxmlformats.org/spreadsheetml/2006/main" xmlns:r="http://schemas.openxmlformats.org/officeDocument/2006/relationships">
  <dimension ref="B1:L12"/>
  <sheetViews>
    <sheetView workbookViewId="0" topLeftCell="A1">
      <selection activeCell="A1" sqref="A1"/>
    </sheetView>
  </sheetViews>
  <sheetFormatPr defaultColWidth="9.00390625" defaultRowHeight="13.5"/>
  <cols>
    <col min="1" max="1" width="1.875" style="111" customWidth="1"/>
    <col min="2" max="12" width="8.625" style="111" customWidth="1"/>
    <col min="13" max="16384" width="9.00390625" style="111" customWidth="1"/>
  </cols>
  <sheetData>
    <row r="1" ht="25.5" customHeight="1">
      <c r="B1" s="112" t="s">
        <v>330</v>
      </c>
    </row>
    <row r="2" ht="15" customHeight="1">
      <c r="B2" s="111" t="s">
        <v>87</v>
      </c>
    </row>
    <row r="3" spans="2:12" ht="21" customHeight="1" thickBot="1">
      <c r="B3" s="111" t="s">
        <v>88</v>
      </c>
      <c r="L3" s="113" t="s">
        <v>89</v>
      </c>
    </row>
    <row r="4" spans="2:12" ht="15" customHeight="1" thickTop="1">
      <c r="B4" s="114"/>
      <c r="C4" s="115" t="s">
        <v>331</v>
      </c>
      <c r="D4" s="116"/>
      <c r="E4" s="116"/>
      <c r="F4" s="116"/>
      <c r="G4" s="116"/>
      <c r="H4" s="116"/>
      <c r="I4" s="116"/>
      <c r="J4" s="115" t="s">
        <v>91</v>
      </c>
      <c r="K4" s="117"/>
      <c r="L4" s="458" t="s">
        <v>92</v>
      </c>
    </row>
    <row r="5" spans="2:12" ht="21">
      <c r="B5" s="118" t="s">
        <v>90</v>
      </c>
      <c r="C5" s="119" t="s">
        <v>93</v>
      </c>
      <c r="D5" s="119" t="s">
        <v>332</v>
      </c>
      <c r="E5" s="120" t="s">
        <v>333</v>
      </c>
      <c r="F5" s="119" t="s">
        <v>334</v>
      </c>
      <c r="G5" s="119" t="s">
        <v>335</v>
      </c>
      <c r="H5" s="119" t="s">
        <v>336</v>
      </c>
      <c r="I5" s="119" t="s">
        <v>337</v>
      </c>
      <c r="J5" s="119" t="s">
        <v>338</v>
      </c>
      <c r="K5" s="119" t="s">
        <v>94</v>
      </c>
      <c r="L5" s="459"/>
    </row>
    <row r="6" spans="2:12" ht="18" customHeight="1">
      <c r="B6" s="121" t="s">
        <v>95</v>
      </c>
      <c r="C6" s="122">
        <v>696.4</v>
      </c>
      <c r="D6" s="122">
        <v>3059.5</v>
      </c>
      <c r="E6" s="122">
        <v>1680.1</v>
      </c>
      <c r="F6" s="122">
        <v>594.6</v>
      </c>
      <c r="G6" s="122">
        <v>1199.5</v>
      </c>
      <c r="H6" s="122">
        <v>465.9</v>
      </c>
      <c r="I6" s="123">
        <v>4.6</v>
      </c>
      <c r="J6" s="122">
        <v>476.3</v>
      </c>
      <c r="K6" s="122">
        <v>19.3</v>
      </c>
      <c r="L6" s="124">
        <v>891</v>
      </c>
    </row>
    <row r="7" spans="2:12" ht="18" customHeight="1">
      <c r="B7" s="125" t="s">
        <v>96</v>
      </c>
      <c r="C7" s="122">
        <v>775.2</v>
      </c>
      <c r="D7" s="122">
        <v>3129.3</v>
      </c>
      <c r="E7" s="122">
        <v>1465.3</v>
      </c>
      <c r="F7" s="122">
        <v>456.3</v>
      </c>
      <c r="G7" s="122">
        <v>1654.5</v>
      </c>
      <c r="H7" s="122">
        <v>448.7</v>
      </c>
      <c r="I7" s="123">
        <v>1.1</v>
      </c>
      <c r="J7" s="122">
        <v>453.2</v>
      </c>
      <c r="K7" s="122">
        <v>14.3</v>
      </c>
      <c r="L7" s="124">
        <v>863</v>
      </c>
    </row>
    <row r="8" spans="2:12" ht="18" customHeight="1">
      <c r="B8" s="125" t="s">
        <v>97</v>
      </c>
      <c r="C8" s="122">
        <v>766.2</v>
      </c>
      <c r="D8" s="122">
        <v>3194.5</v>
      </c>
      <c r="E8" s="122">
        <v>1429.7</v>
      </c>
      <c r="F8" s="122">
        <v>328.8</v>
      </c>
      <c r="G8" s="122">
        <v>1271.4</v>
      </c>
      <c r="H8" s="122">
        <v>420.9</v>
      </c>
      <c r="I8" s="123">
        <v>1.3</v>
      </c>
      <c r="J8" s="122">
        <v>437.4</v>
      </c>
      <c r="K8" s="122">
        <v>11.7</v>
      </c>
      <c r="L8" s="124">
        <v>836</v>
      </c>
    </row>
    <row r="9" spans="2:12" ht="18" customHeight="1">
      <c r="B9" s="125" t="s">
        <v>98</v>
      </c>
      <c r="C9" s="122">
        <v>874.8</v>
      </c>
      <c r="D9" s="122">
        <v>3106.9</v>
      </c>
      <c r="E9" s="122">
        <v>1255.3</v>
      </c>
      <c r="F9" s="122">
        <v>289.2</v>
      </c>
      <c r="G9" s="122">
        <v>1468.8</v>
      </c>
      <c r="H9" s="122">
        <v>264</v>
      </c>
      <c r="I9" s="123">
        <v>1.7</v>
      </c>
      <c r="J9" s="122">
        <v>352.3</v>
      </c>
      <c r="K9" s="122">
        <v>7.8</v>
      </c>
      <c r="L9" s="124">
        <v>758</v>
      </c>
    </row>
    <row r="10" spans="2:12" ht="18" customHeight="1">
      <c r="B10" s="125" t="s">
        <v>99</v>
      </c>
      <c r="C10" s="122">
        <v>985.9</v>
      </c>
      <c r="D10" s="122">
        <v>2792.9</v>
      </c>
      <c r="E10" s="122">
        <v>1131.7</v>
      </c>
      <c r="F10" s="122">
        <v>262</v>
      </c>
      <c r="G10" s="122">
        <v>1715.5</v>
      </c>
      <c r="H10" s="122">
        <v>189.9</v>
      </c>
      <c r="I10" s="123">
        <v>2.3</v>
      </c>
      <c r="J10" s="122">
        <v>331.9</v>
      </c>
      <c r="K10" s="122">
        <v>23.5</v>
      </c>
      <c r="L10" s="124">
        <v>518</v>
      </c>
    </row>
    <row r="11" spans="2:12" ht="18" customHeight="1" thickBot="1">
      <c r="B11" s="317" t="s">
        <v>100</v>
      </c>
      <c r="C11" s="318">
        <v>1167.5</v>
      </c>
      <c r="D11" s="318">
        <v>3168.2</v>
      </c>
      <c r="E11" s="318">
        <v>1789.3</v>
      </c>
      <c r="F11" s="318">
        <v>206.3</v>
      </c>
      <c r="G11" s="318">
        <v>2035.2</v>
      </c>
      <c r="H11" s="318">
        <v>228.4</v>
      </c>
      <c r="I11" s="319">
        <v>1.8</v>
      </c>
      <c r="J11" s="318">
        <v>403.9</v>
      </c>
      <c r="K11" s="318">
        <v>27.8</v>
      </c>
      <c r="L11" s="320">
        <v>353</v>
      </c>
    </row>
    <row r="12" ht="12">
      <c r="B12" s="111" t="s">
        <v>101</v>
      </c>
    </row>
  </sheetData>
  <mergeCells count="1">
    <mergeCell ref="L4:L5"/>
  </mergeCells>
  <printOptions/>
  <pageMargins left="0.45" right="0.31" top="1" bottom="1" header="0.512" footer="0.512"/>
  <pageSetup horizontalDpi="600" verticalDpi="600" orientation="portrait" paperSize="9" r:id="rId1"/>
  <headerFooter alignWithMargins="0">
    <oddHeader>&amp;R&amp;D  &amp;T</oddHeader>
  </headerFooter>
</worksheet>
</file>

<file path=xl/worksheets/sheet9.xml><?xml version="1.0" encoding="utf-8"?>
<worksheet xmlns="http://schemas.openxmlformats.org/spreadsheetml/2006/main" xmlns:r="http://schemas.openxmlformats.org/officeDocument/2006/relationships">
  <dimension ref="A1:J11"/>
  <sheetViews>
    <sheetView workbookViewId="0" topLeftCell="A1">
      <selection activeCell="A1" sqref="A1"/>
    </sheetView>
  </sheetViews>
  <sheetFormatPr defaultColWidth="9.00390625" defaultRowHeight="13.5"/>
  <cols>
    <col min="1" max="1" width="10.625" style="140" customWidth="1"/>
    <col min="2" max="7" width="13.125" style="140" customWidth="1"/>
    <col min="8" max="16384" width="9.00390625" style="140" customWidth="1"/>
  </cols>
  <sheetData>
    <row r="1" s="127" customFormat="1" ht="18" customHeight="1">
      <c r="A1" s="126" t="s">
        <v>339</v>
      </c>
    </row>
    <row r="2" spans="1:10" s="127" customFormat="1" ht="15" customHeight="1" thickBot="1">
      <c r="A2" s="127" t="s">
        <v>102</v>
      </c>
      <c r="F2" s="128"/>
      <c r="G2" s="128" t="s">
        <v>103</v>
      </c>
      <c r="J2" s="129"/>
    </row>
    <row r="3" spans="1:10" s="130" customFormat="1" ht="15" customHeight="1" thickTop="1">
      <c r="A3" s="460" t="s">
        <v>90</v>
      </c>
      <c r="B3" s="462" t="s">
        <v>104</v>
      </c>
      <c r="C3" s="463"/>
      <c r="D3" s="463"/>
      <c r="E3" s="463"/>
      <c r="F3" s="463"/>
      <c r="G3" s="463"/>
      <c r="J3" s="131"/>
    </row>
    <row r="4" spans="1:10" s="130" customFormat="1" ht="15" customHeight="1">
      <c r="A4" s="461"/>
      <c r="B4" s="132" t="s">
        <v>105</v>
      </c>
      <c r="C4" s="133" t="s">
        <v>340</v>
      </c>
      <c r="D4" s="133" t="s">
        <v>341</v>
      </c>
      <c r="E4" s="133" t="s">
        <v>342</v>
      </c>
      <c r="F4" s="133" t="s">
        <v>343</v>
      </c>
      <c r="G4" s="134" t="s">
        <v>106</v>
      </c>
      <c r="J4" s="131"/>
    </row>
    <row r="5" spans="1:10" s="127" customFormat="1" ht="15" customHeight="1">
      <c r="A5" s="135" t="s">
        <v>107</v>
      </c>
      <c r="B5" s="136">
        <v>243</v>
      </c>
      <c r="C5" s="136">
        <v>33</v>
      </c>
      <c r="D5" s="136">
        <v>65</v>
      </c>
      <c r="E5" s="136">
        <v>78</v>
      </c>
      <c r="F5" s="136">
        <v>35</v>
      </c>
      <c r="G5" s="137">
        <v>32</v>
      </c>
      <c r="J5" s="129"/>
    </row>
    <row r="6" spans="1:10" s="127" customFormat="1" ht="15" customHeight="1">
      <c r="A6" s="138" t="s">
        <v>108</v>
      </c>
      <c r="B6" s="136">
        <v>228</v>
      </c>
      <c r="C6" s="136">
        <v>32</v>
      </c>
      <c r="D6" s="136">
        <v>58</v>
      </c>
      <c r="E6" s="136">
        <v>73</v>
      </c>
      <c r="F6" s="136">
        <v>35</v>
      </c>
      <c r="G6" s="137">
        <v>30</v>
      </c>
      <c r="J6" s="129"/>
    </row>
    <row r="7" spans="1:10" s="127" customFormat="1" ht="15" customHeight="1">
      <c r="A7" s="138" t="s">
        <v>109</v>
      </c>
      <c r="B7" s="136">
        <v>212</v>
      </c>
      <c r="C7" s="136">
        <v>30</v>
      </c>
      <c r="D7" s="136">
        <v>51</v>
      </c>
      <c r="E7" s="136">
        <v>65</v>
      </c>
      <c r="F7" s="136">
        <v>35</v>
      </c>
      <c r="G7" s="137">
        <v>31</v>
      </c>
      <c r="J7" s="129"/>
    </row>
    <row r="8" spans="1:7" s="127" customFormat="1" ht="15" customHeight="1">
      <c r="A8" s="138" t="s">
        <v>110</v>
      </c>
      <c r="B8" s="136">
        <v>197</v>
      </c>
      <c r="C8" s="136">
        <v>30</v>
      </c>
      <c r="D8" s="136">
        <v>45</v>
      </c>
      <c r="E8" s="136">
        <v>64</v>
      </c>
      <c r="F8" s="136">
        <v>31</v>
      </c>
      <c r="G8" s="137">
        <v>27</v>
      </c>
    </row>
    <row r="9" spans="1:7" s="139" customFormat="1" ht="15" customHeight="1">
      <c r="A9" s="138" t="s">
        <v>111</v>
      </c>
      <c r="B9" s="136">
        <f>SUM(C9:G9)</f>
        <v>186</v>
      </c>
      <c r="C9" s="136">
        <v>31</v>
      </c>
      <c r="D9" s="136">
        <v>41</v>
      </c>
      <c r="E9" s="136">
        <v>61</v>
      </c>
      <c r="F9" s="136">
        <v>27</v>
      </c>
      <c r="G9" s="137">
        <v>26</v>
      </c>
    </row>
    <row r="10" spans="1:7" s="139" customFormat="1" ht="15" customHeight="1" thickBot="1">
      <c r="A10" s="321" t="s">
        <v>112</v>
      </c>
      <c r="B10" s="322">
        <v>171</v>
      </c>
      <c r="C10" s="322">
        <v>27</v>
      </c>
      <c r="D10" s="322">
        <v>38</v>
      </c>
      <c r="E10" s="322">
        <v>55</v>
      </c>
      <c r="F10" s="322">
        <v>26</v>
      </c>
      <c r="G10" s="323">
        <v>25</v>
      </c>
    </row>
    <row r="11" s="127" customFormat="1" ht="15" customHeight="1">
      <c r="A11" s="324" t="s">
        <v>113</v>
      </c>
    </row>
  </sheetData>
  <mergeCells count="2">
    <mergeCell ref="A3:A4"/>
    <mergeCell ref="B3:G3"/>
  </mergeCells>
  <printOptions/>
  <pageMargins left="0.5905511811023623" right="0.1968503937007874" top="0.984251968503937" bottom="0.984251968503937" header="0.5118110236220472" footer="0.5118110236220472"/>
  <pageSetup horizontalDpi="400" verticalDpi="400" orientation="portrait" paperSize="9" scale="95" r:id="rId1"/>
  <headerFooter alignWithMargins="0">
    <oddHeader>&amp;R&amp;D&amp;T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第５章　林業　（平成18年　山形県統計年鑑）</dc:title>
  <dc:subject/>
  <dc:creator>山形県</dc:creator>
  <cp:keywords/>
  <dc:description/>
  <cp:lastModifiedBy>工藤　裕子</cp:lastModifiedBy>
  <cp:lastPrinted>2008-09-11T03:53:51Z</cp:lastPrinted>
  <dcterms:created xsi:type="dcterms:W3CDTF">2008-09-11T03:01:31Z</dcterms:created>
  <dcterms:modified xsi:type="dcterms:W3CDTF">2008-10-02T06:27:24Z</dcterms:modified>
  <cp:category/>
  <cp:version/>
  <cp:contentType/>
  <cp:contentStatus/>
</cp:coreProperties>
</file>